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5"/>
  </bookViews>
  <sheets>
    <sheet name="1 · Executive View" sheetId="1" state="visible" r:id="rId1"/>
    <sheet name="2 · Sidebar Studio" sheetId="2" state="visible" r:id="rId2"/>
    <sheet name="3 · KPI Cards" sheetId="3" state="visible" r:id="rId3"/>
    <sheet name="4 · Board Report" sheetId="4" state="visible" r:id="rId4"/>
    <sheet name="5 · Modern Console" sheetId="5" state="visible" r:id="rId5"/>
    <sheet name="DATASET" sheetId="6" state="visible" r:id="rId6"/>
    <sheet name="Engine" sheetId="7" state="hidden" r:id="rId7"/>
  </sheets>
  <definedNames>
    <definedName name="_xlnm.Print_Area" localSheetId="0">'1 · Executive View'!$A$1:$J$53</definedName>
    <definedName name="_xlnm.Print_Area" localSheetId="1">'2 · Sidebar Studio'!$A$1:$K$48</definedName>
    <definedName name="_xlnm.Print_Area" localSheetId="2">'3 · KPI Cards'!$A$1:$J$54</definedName>
    <definedName name="_xlnm.Print_Area" localSheetId="3">'4 · Board Report'!$A$1:$J$55</definedName>
    <definedName name="_xlnm.Print_Area" localSheetId="4">'5 · Modern Console'!$A$1:$J$51</definedName>
    <definedName name="_xlnm.Print_Area" localSheetId="5">DATASET!$A$1:$I$47</definedName>
    <definedName name="D0_Flag">Engine!$C$2:$C$47</definedName>
    <definedName name="D0_ItemOpts">Engine!$D$51:$D$75</definedName>
    <definedName name="D0_Mask">Engine!$E$2:$E$47</definedName>
    <definedName name="D0_Rank">Engine!$D$2:$D$47</definedName>
    <definedName name="D0_SitOpts">Engine!$E$51:$E$75</definedName>
    <definedName name="D0_SubOpts">Engine!$C$51:$C$75</definedName>
    <definedName name="D1_Flag">Engine!$N$2:$N$47</definedName>
    <definedName name="D1_ItemOpts">Engine!$O$51:$O$75</definedName>
    <definedName name="D1_Mask">Engine!$P$2:$P$47</definedName>
    <definedName name="D1_Rank">Engine!$O$2:$O$47</definedName>
    <definedName name="D1_SitOpts">Engine!$P$51:$P$75</definedName>
    <definedName name="D1_SubOpts">Engine!$N$51:$N$75</definedName>
    <definedName name="D2_Flag">Engine!$Y$2:$Y$47</definedName>
    <definedName name="D2_ItemOpts">Engine!$Z$51:$Z$75</definedName>
    <definedName name="D2_Mask">Engine!$AA$2:$AA$47</definedName>
    <definedName name="D2_Rank">Engine!$Z$2:$Z$47</definedName>
    <definedName name="D2_SitOpts">Engine!$AA$51:$AA$75</definedName>
    <definedName name="D2_SubOpts">Engine!$Y$51:$Y$75</definedName>
    <definedName name="D3_Flag">Engine!$AJ$2:$AJ$47</definedName>
    <definedName name="D3_ItemOpts">Engine!$AK$51:$AK$75</definedName>
    <definedName name="D3_Mask">Engine!$AL$2:$AL$47</definedName>
    <definedName name="D3_Rank">Engine!$AK$2:$AK$47</definedName>
    <definedName name="D3_SitOpts">Engine!$AL$51:$AL$75</definedName>
    <definedName name="D3_SubOpts">Engine!$AJ$51:$AJ$75</definedName>
    <definedName name="D4_Flag">Engine!$AU$2:$AU$47</definedName>
    <definedName name="D4_ItemOpts">Engine!$AV$51:$AV$75</definedName>
    <definedName name="D4_Mask">Engine!$AW$2:$AW$47</definedName>
    <definedName name="D4_Rank">Engine!$AV$2:$AV$47</definedName>
    <definedName name="D4_SitOpts">Engine!$AW$51:$AW$75</definedName>
    <definedName name="D4_SubOpts">Engine!$AU$51:$AU$75</definedName>
    <definedName name="MacroOpts">Engine!$A$2:$A$9</definedName>
  </definedNames>
  <calcPr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<sst xmlns="http://schemas.openxmlformats.org/spreadsheetml/2006/main" count="157" uniqueCount="157">
  <si>
    <t xml:space="preserve">Financial Statement Explorer</t>
  </si>
  <si>
    <t xml:space="preserve">Executive view — select filters to drill into account balances. Leave a filter empty to include everything.</t>
  </si>
  <si>
    <t>MACROCLASS</t>
  </si>
  <si>
    <t>SUBCLASS</t>
  </si>
  <si>
    <t>ITEM</t>
  </si>
  <si>
    <t>SUB-ITEM</t>
  </si>
  <si>
    <t xml:space="preserve">C) ATTIVO CIRCOLANTE</t>
  </si>
  <si>
    <t xml:space="preserve">MATCHING ACCOUNTS</t>
  </si>
  <si>
    <t xml:space="preserve">TOTAL VALUE (€)</t>
  </si>
  <si>
    <t xml:space="preserve">Account code</t>
  </si>
  <si>
    <t xml:space="preserve">Account description</t>
  </si>
  <si>
    <t xml:space="preserve">Value (€)</t>
  </si>
  <si>
    <t xml:space="preserve">TOTAL — matching accounts</t>
  </si>
  <si>
    <t xml:space="preserve">Best for board-level reviews — every filter and the headline totals sit above the ledger for an instant top-down read.</t>
  </si>
  <si>
    <t>FILTERS</t>
  </si>
  <si>
    <t xml:space="preserve">Sidebar view — filters stay pinned on the left while you scan results on the right.</t>
  </si>
  <si>
    <t xml:space="preserve">LARGEST SINGLE VALUE</t>
  </si>
  <si>
    <t xml:space="preserve">Best for exploratory analysis — filters and KPIs stay pinned on the left while you scan the full ledger on the right.</t>
  </si>
  <si>
    <t xml:space="preserve">KPI dashboard — headline metrics update live as you filter.</t>
  </si>
  <si>
    <t xml:space="preserve">LARGEST VALUE (€)</t>
  </si>
  <si>
    <t xml:space="preserve">SMALLEST VALUE (€)</t>
  </si>
  <si>
    <t xml:space="preserve">Best for at-a-glance reporting — four live metric cards summarise the selection before you read a single row.</t>
  </si>
  <si>
    <t xml:space="preserve">Statement of Accounts — Selected View</t>
  </si>
  <si>
    <t xml:space="preserve">Prepared from the DATASET ledger · figures in euro · negative balances in parentheses</t>
  </si>
  <si>
    <t>Macroclass</t>
  </si>
  <si>
    <t>Subclass</t>
  </si>
  <si>
    <t>Item</t>
  </si>
  <si>
    <t>Sub-item</t>
  </si>
  <si>
    <t xml:space="preserve">Best for print &amp; PDF packs — a centred, serif, report-style layout that echoes your active filters as a caption.</t>
  </si>
  <si>
    <t xml:space="preserve">Financial Statement Explorer  ·  Console</t>
  </si>
  <si>
    <t xml:space="preserve">Best for presentations &amp; screens — a bold header band keeps controls and totals crisp on a projector.</t>
  </si>
  <si>
    <t>Statement</t>
  </si>
  <si>
    <t>Nature</t>
  </si>
  <si>
    <t>Value</t>
  </si>
  <si>
    <t>CE</t>
  </si>
  <si>
    <t>A</t>
  </si>
  <si>
    <t xml:space="preserve">A) VALORE DELLA PRODUZIONE</t>
  </si>
  <si>
    <t xml:space="preserve">1) Ricavi delle vendite e delle prestazioni</t>
  </si>
  <si>
    <t>600151010</t>
  </si>
  <si>
    <t xml:space="preserve">Ricavi per prestazioni Italia</t>
  </si>
  <si>
    <t xml:space="preserve">5) Altri ricavi e proventi</t>
  </si>
  <si>
    <t>6401215</t>
  </si>
  <si>
    <t xml:space="preserve">Abbuoni e arrotondamenti attivi</t>
  </si>
  <si>
    <t>B</t>
  </si>
  <si>
    <t xml:space="preserve">B) COSTI DELLA PRODUZIONE</t>
  </si>
  <si>
    <t xml:space="preserve">7) Per servizi</t>
  </si>
  <si>
    <t>6901252</t>
  </si>
  <si>
    <t xml:space="preserve">Compenso professionisti</t>
  </si>
  <si>
    <t>690181015</t>
  </si>
  <si>
    <t xml:space="preserve">Consulenze e collaborazioni tecniche</t>
  </si>
  <si>
    <t>690182015</t>
  </si>
  <si>
    <t xml:space="preserve">Prestazioni notarili</t>
  </si>
  <si>
    <t>690182025</t>
  </si>
  <si>
    <t xml:space="preserve">Consulenza fiscale e societaria</t>
  </si>
  <si>
    <t>690182520</t>
  </si>
  <si>
    <t xml:space="preserve">Spese e servizi bancari (non finanziari)</t>
  </si>
  <si>
    <t>690242520</t>
  </si>
  <si>
    <t xml:space="preserve">Emolumenti collegio sindacale ded. IRAP</t>
  </si>
  <si>
    <t>690243010</t>
  </si>
  <si>
    <t xml:space="preserve">Compensi revisione contabile</t>
  </si>
  <si>
    <t xml:space="preserve">14) Oneri diversi di gestione</t>
  </si>
  <si>
    <t>760101510</t>
  </si>
  <si>
    <t xml:space="preserve">Imposta di bollo</t>
  </si>
  <si>
    <t>760102015</t>
  </si>
  <si>
    <t xml:space="preserve">Tassa annuale libri sociali</t>
  </si>
  <si>
    <t>76020015</t>
  </si>
  <si>
    <t xml:space="preserve">Spese camerali, catastali e diritti vari</t>
  </si>
  <si>
    <t>76020040</t>
  </si>
  <si>
    <t xml:space="preserve">Abbuoni e arr.pass.non compr.nei ricavi</t>
  </si>
  <si>
    <t>C</t>
  </si>
  <si>
    <t xml:space="preserve">C) PROVENTI E ONERI FINANZIARI</t>
  </si>
  <si>
    <t xml:space="preserve">16) Altri proventi finanziari</t>
  </si>
  <si>
    <t xml:space="preserve">d) Proventi diversi dai precedenti</t>
  </si>
  <si>
    <t>90050</t>
  </si>
  <si>
    <t xml:space="preserve">Proventi da consolidato</t>
  </si>
  <si>
    <t xml:space="preserve">17) Interessi e altri oneri finanziari</t>
  </si>
  <si>
    <t>85015020</t>
  </si>
  <si>
    <t xml:space="preserve">Interessi su debiti verso altri</t>
  </si>
  <si>
    <t>85015050</t>
  </si>
  <si>
    <t xml:space="preserve">Interessi indeducibili IVA trimestrale</t>
  </si>
  <si>
    <t>20</t>
  </si>
  <si>
    <t xml:space="preserve">20) Imposte sul reddito dell'esercizio (correnti, differite e anticipate)</t>
  </si>
  <si>
    <t xml:space="preserve">c) Imposte differite e anticipate</t>
  </si>
  <si>
    <t>91010</t>
  </si>
  <si>
    <t xml:space="preserve">IRES differita</t>
  </si>
  <si>
    <t>91510</t>
  </si>
  <si>
    <t xml:space="preserve">IRES anticipata</t>
  </si>
  <si>
    <t>A-B</t>
  </si>
  <si>
    <t xml:space="preserve">A-B) DIFFERENZA TRA VALORE E COSTI DELLA PRODUZIONE</t>
  </si>
  <si>
    <t>21</t>
  </si>
  <si>
    <t xml:space="preserve">21) UTILE (PERDITA) DELL'ESERCIZIO</t>
  </si>
  <si>
    <t>A-B±C±D</t>
  </si>
  <si>
    <t xml:space="preserve">A-B±C±D) RISULTATO PRIMA DELLE IMPOSTE</t>
  </si>
  <si>
    <t>SP</t>
  </si>
  <si>
    <t>Attivo</t>
  </si>
  <si>
    <t xml:space="preserve">C.II) Crediti</t>
  </si>
  <si>
    <t xml:space="preserve">2) Verso imprese controllate</t>
  </si>
  <si>
    <t>19764</t>
  </si>
  <si>
    <t xml:space="preserve">FERRARI MILANO S.R.L.</t>
  </si>
  <si>
    <t xml:space="preserve">3) Verso imprese collegate</t>
  </si>
  <si>
    <t>32650</t>
  </si>
  <si>
    <t xml:space="preserve">STONE ISLAND S.R.L.</t>
  </si>
  <si>
    <t xml:space="preserve">5-bis) Crediti tributari</t>
  </si>
  <si>
    <t>10030100910</t>
  </si>
  <si>
    <t xml:space="preserve">IVA in compensazione entro es. succ.</t>
  </si>
  <si>
    <t>10030100915</t>
  </si>
  <si>
    <t xml:space="preserve">IRPEF/IRES in compensaz. entro es.succ.</t>
  </si>
  <si>
    <t xml:space="preserve">5-ter) Imposte anticipate</t>
  </si>
  <si>
    <t>100301710</t>
  </si>
  <si>
    <t xml:space="preserve">IRES per imposte anticipate</t>
  </si>
  <si>
    <t xml:space="preserve">C.IV) Disponibilità liquide</t>
  </si>
  <si>
    <t xml:space="preserve">1) Depositi bancari e postali</t>
  </si>
  <si>
    <t>1201015</t>
  </si>
  <si>
    <t xml:space="preserve">Banca Popolare di Sondrio</t>
  </si>
  <si>
    <t xml:space="preserve">TOTALE ATTIVO) TOTALE ATTIVO</t>
  </si>
  <si>
    <t>Passivo</t>
  </si>
  <si>
    <t xml:space="preserve">A) PATRIMONIO NETTO</t>
  </si>
  <si>
    <t xml:space="preserve">A.I) Capitale sociale</t>
  </si>
  <si>
    <t>17010</t>
  </si>
  <si>
    <t xml:space="preserve">Capitale Sociale</t>
  </si>
  <si>
    <t xml:space="preserve">A.IV) Riserva legale</t>
  </si>
  <si>
    <t>20010</t>
  </si>
  <si>
    <t xml:space="preserve">Riserva legale</t>
  </si>
  <si>
    <t xml:space="preserve">A.IX) Utile (perdita) dell'esercizio</t>
  </si>
  <si>
    <t xml:space="preserve">A.VI) Altre riserve, distintamente indicate</t>
  </si>
  <si>
    <t>23045</t>
  </si>
  <si>
    <t xml:space="preserve">Versamenti dei soci c/ futuro aum.cap.</t>
  </si>
  <si>
    <t xml:space="preserve">A.VIII) Utili (perdite) portati a nuovo</t>
  </si>
  <si>
    <t>24010</t>
  </si>
  <si>
    <t xml:space="preserve">Utili esercizi precedenti</t>
  </si>
  <si>
    <t>24015</t>
  </si>
  <si>
    <t xml:space="preserve">Perdite esercizi precedenti</t>
  </si>
  <si>
    <t xml:space="preserve">B) FONDI PER RISCHI E ONERI</t>
  </si>
  <si>
    <t xml:space="preserve">2) Per imposte, anche differite</t>
  </si>
  <si>
    <t>27014</t>
  </si>
  <si>
    <t xml:space="preserve">F.do imposte differite IRES</t>
  </si>
  <si>
    <t xml:space="preserve">D) DEBITI</t>
  </si>
  <si>
    <t xml:space="preserve">5) Debiti verso altri finanziatori</t>
  </si>
  <si>
    <t>3701512</t>
  </si>
  <si>
    <t xml:space="preserve">Finanziamenti fruttiferi oltre esercizio</t>
  </si>
  <si>
    <t>3701550</t>
  </si>
  <si>
    <t xml:space="preserve">Finanz. fruttiferi CB CAPITAL</t>
  </si>
  <si>
    <t xml:space="preserve">7) Debiti verso fornitori</t>
  </si>
  <si>
    <t>7870</t>
  </si>
  <si>
    <t xml:space="preserve">ACME  ITALIA S.P.A.</t>
  </si>
  <si>
    <t xml:space="preserve">ACMEITALIA S.P.A.</t>
  </si>
  <si>
    <t>399</t>
  </si>
  <si>
    <t xml:space="preserve">Sam Sonic SPA</t>
  </si>
  <si>
    <t>1062</t>
  </si>
  <si>
    <t>PWC</t>
  </si>
  <si>
    <t xml:space="preserve">14) Altri debiti</t>
  </si>
  <si>
    <t>460101010</t>
  </si>
  <si>
    <t xml:space="preserve">Soci/azionisti c.to dividendi</t>
  </si>
  <si>
    <t>460102552</t>
  </si>
  <si>
    <t xml:space="preserve">Debiti cons.fiscale Stone srl</t>
  </si>
  <si>
    <t xml:space="preserve">TOTALE PASSIVO) TOTALE PASSIVO</t>
  </si>
  <si>
    <t>MacroOpts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</si>
</sst>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&quot;€ &quot;#,##0;[Red]&quot;(€ &quot;#,##0\);\–"/>
    <numFmt numFmtId="165" formatCode="&quot;€ &quot;#,##0.00;[Red]&quot;(€ &quot;#,##0.00\);\–"/>
  </numFmts>
  <fonts count="44">
    <font>
      <sz val="11.000000"/>
      <color theme="1"/>
      <name val="Calibri"/>
    </font>
    <font>
      <b/>
      <sz val="20.000000"/>
      <color indexed="65"/>
      <name val="Calibri"/>
    </font>
    <font>
      <i/>
      <sz val="9.000000"/>
      <color rgb="FF5B6B7F"/>
      <name val="Calibri"/>
    </font>
    <font>
      <b/>
      <sz val="8.000000"/>
      <color rgb="FF5B6B7F"/>
      <name val="Calibri"/>
    </font>
    <font>
      <sz val="11.000000"/>
      <color rgb="FF222222"/>
      <name val="Calibri"/>
    </font>
    <font>
      <b/>
      <sz val="14.000000"/>
      <color rgb="FF1F3B5B"/>
      <name val="Calibri"/>
    </font>
    <font>
      <i/>
      <sz val="9.000000"/>
      <color rgb="FFC0392B"/>
      <name val="Calibri"/>
    </font>
    <font>
      <b/>
      <sz val="10.000000"/>
      <color indexed="65"/>
      <name val="Calibri"/>
    </font>
    <font>
      <sz val="10.000000"/>
      <color rgb="FF3A3F45"/>
      <name val="Consolas"/>
    </font>
    <font>
      <sz val="10.000000"/>
      <color rgb="FF2B2F36"/>
      <name val="Calibri"/>
    </font>
    <font>
      <b/>
      <sz val="10.000000"/>
      <color rgb="FF1F3B5B"/>
      <name val="Calibri"/>
    </font>
    <font>
      <b/>
      <sz val="11.000000"/>
      <color rgb="FF1F3B5B"/>
      <name val="Calibri"/>
    </font>
    <font>
      <b/>
      <sz val="11.000000"/>
      <color rgb="FF2F5D3A"/>
      <name val="Calibri"/>
    </font>
    <font>
      <b/>
      <sz val="18.000000"/>
      <color indexed="65"/>
      <name val="Calibri"/>
    </font>
    <font>
      <i/>
      <sz val="9.000000"/>
      <color rgb="FF43604A"/>
      <name val="Calibri"/>
    </font>
    <font>
      <b/>
      <sz val="8.000000"/>
      <color rgb="FF43604A"/>
      <name val="Calibri"/>
    </font>
    <font>
      <b/>
      <sz val="20.000000"/>
      <color rgb="FF2F5D3A"/>
      <name val="Calibri"/>
    </font>
    <font>
      <b/>
      <sz val="15.000000"/>
      <color rgb="FF2F5D3A"/>
      <name val="Calibri"/>
    </font>
    <font>
      <b/>
      <sz val="13.000000"/>
      <color rgb="FF2F5D3A"/>
      <name val="Calibri"/>
    </font>
    <font>
      <b/>
      <sz val="10.000000"/>
      <color rgb="FF2F5D3A"/>
      <name val="Calibri"/>
    </font>
    <font>
      <i/>
      <sz val="9.000000"/>
      <color rgb="FF5A4C86"/>
      <name val="Calibri"/>
    </font>
    <font>
      <b/>
      <sz val="8.000000"/>
      <color rgb="FF5A4C86"/>
      <name val="Calibri"/>
    </font>
    <font>
      <b/>
      <sz val="17.000000"/>
      <color rgb="FF4B3B78"/>
      <name val="Calibri"/>
    </font>
    <font>
      <b/>
      <sz val="10.000000"/>
      <color rgb="FF4B3B78"/>
      <name val="Calibri"/>
    </font>
    <font>
      <b/>
      <sz val="11.000000"/>
      <color rgb="FF4B3B78"/>
      <name val="Calibri"/>
    </font>
    <font>
      <b/>
      <sz val="18.000000"/>
      <color rgb="FF5A4632"/>
      <name val="Georgia"/>
    </font>
    <font>
      <i/>
      <sz val="9.000000"/>
      <color rgb="FF6E5A44"/>
      <name val="Georgia"/>
    </font>
    <font>
      <b/>
      <sz val="10.000000"/>
      <color rgb="FF6E5A44"/>
      <name val="Georgia"/>
    </font>
    <font>
      <sz val="11.000000"/>
      <color rgb="FF222222"/>
      <name val="Georgia"/>
    </font>
    <font>
      <i/>
      <sz val="10.000000"/>
      <color rgb="FF5A4632"/>
      <name val="Georgia"/>
    </font>
    <font>
      <i/>
      <sz val="9.000000"/>
      <color rgb="FF9B4A34"/>
      <name val="Georgia"/>
    </font>
    <font>
      <b/>
      <sz val="10.000000"/>
      <color rgb="FF5A4632"/>
      <name val="Georgia"/>
    </font>
    <font>
      <sz val="10.000000"/>
      <color rgb="FF2B2F36"/>
      <name val="Georgia"/>
    </font>
    <font>
      <b/>
      <sz val="11.000000"/>
      <color rgb="FF5A4632"/>
      <name val="Georgia"/>
    </font>
    <font>
      <b/>
      <sz val="8.000000"/>
      <color rgb="FFBFE0E0"/>
      <name val="Calibri"/>
    </font>
    <font>
      <b/>
      <sz val="8.000000"/>
      <color rgb="FF2A6A6F"/>
      <name val="Calibri"/>
    </font>
    <font>
      <b/>
      <sz val="8.000000"/>
      <color rgb="FF12787F"/>
      <name val="Calibri"/>
    </font>
    <font>
      <b/>
      <sz val="16.000000"/>
      <color rgb="FF0E5C63"/>
      <name val="Calibri"/>
    </font>
    <font>
      <b/>
      <sz val="11.000000"/>
      <color indexed="65"/>
      <name val="Calibri"/>
    </font>
    <font>
      <i/>
      <sz val="9.000000"/>
      <color rgb="FF2A6A6F"/>
      <name val="Calibri"/>
    </font>
    <font>
      <b/>
      <sz val="11.000000"/>
      <name val="Calibri"/>
    </font>
    <font>
      <b/>
      <sz val="10.000000"/>
      <color indexed="65"/>
      <name val="Arial"/>
    </font>
    <font>
      <sz val="9.000000"/>
      <color rgb="FF2B2F36"/>
      <name val="Arial"/>
    </font>
    <font>
      <sz val="9.000000"/>
      <color rgb="FF3A3F45"/>
      <name val="Consolas"/>
    </font>
  </fonts>
  <fills count="22">
    <fill>
      <patternFill patternType="none"/>
    </fill>
    <fill>
      <patternFill patternType="gray125"/>
    </fill>
    <fill>
      <patternFill patternType="solid">
        <fgColor rgb="FF1F3B5B"/>
        <bgColor rgb="FF34495E"/>
      </patternFill>
    </fill>
    <fill>
      <patternFill patternType="solid">
        <fgColor indexed="65"/>
        <bgColor rgb="FFF7F9FB"/>
      </patternFill>
    </fill>
    <fill>
      <patternFill patternType="solid">
        <fgColor rgb="FFE8EEF7"/>
        <bgColor rgb="FFE4EAF2"/>
      </patternFill>
    </fill>
    <fill>
      <patternFill patternType="solid">
        <fgColor rgb="FFF4F7FB"/>
        <bgColor rgb="FFF7F9FB"/>
      </patternFill>
    </fill>
    <fill>
      <patternFill patternType="solid">
        <fgColor rgb="FFDCE6F4"/>
        <bgColor rgb="FFE2E6EC"/>
      </patternFill>
    </fill>
    <fill>
      <patternFill patternType="solid">
        <fgColor rgb="FFEAF1EA"/>
        <bgColor rgb="FFE9F4F2"/>
      </patternFill>
    </fill>
    <fill>
      <patternFill patternType="solid">
        <fgColor rgb="FF2F5D3A"/>
        <bgColor rgb="FF43604A"/>
      </patternFill>
    </fill>
    <fill>
      <patternFill patternType="solid">
        <fgColor rgb="FFF3F8F3"/>
        <bgColor rgb="FFF4F7FB"/>
      </patternFill>
    </fill>
    <fill>
      <patternFill patternType="solid">
        <fgColor rgb="FFDCEBDD"/>
        <bgColor rgb="FFDCEBE9"/>
      </patternFill>
    </fill>
    <fill>
      <patternFill patternType="solid">
        <fgColor rgb="FF4B3B78"/>
        <bgColor rgb="FF5A4C86"/>
      </patternFill>
    </fill>
    <fill>
      <patternFill patternType="solid">
        <fgColor rgb="FFEFEAF7"/>
        <bgColor rgb="FFEBE5F5"/>
      </patternFill>
    </fill>
    <fill>
      <patternFill patternType="solid">
        <fgColor rgb="FFF6F3FB"/>
        <bgColor rgb="FFF4F7FB"/>
      </patternFill>
    </fill>
    <fill>
      <patternFill patternType="solid">
        <fgColor rgb="FFE5DDF3"/>
        <bgColor rgb="FFEBE5F5"/>
      </patternFill>
    </fill>
    <fill>
      <patternFill patternType="solid">
        <fgColor rgb="FFF3EEE6"/>
        <bgColor rgb="FFEAF1EA"/>
      </patternFill>
    </fill>
    <fill>
      <patternFill patternType="solid">
        <fgColor rgb="FFEFE7DA"/>
        <bgColor rgb="FFEAE1D5"/>
      </patternFill>
    </fill>
    <fill>
      <patternFill patternType="solid">
        <fgColor rgb="FFFAF6F0"/>
        <bgColor rgb="FFF3F8F3"/>
      </patternFill>
    </fill>
    <fill>
      <patternFill patternType="solid">
        <fgColor rgb="FF0E5C63"/>
        <bgColor rgb="FF2A6A6F"/>
      </patternFill>
    </fill>
    <fill>
      <patternFill patternType="solid">
        <fgColor rgb="FFE9F4F2"/>
        <bgColor rgb="FFEAF1EA"/>
      </patternFill>
    </fill>
    <fill>
      <patternFill patternType="solid">
        <fgColor rgb="FF34495E"/>
        <bgColor rgb="FF3A3F45"/>
      </patternFill>
    </fill>
    <fill>
      <patternFill patternType="solid">
        <fgColor rgb="FFF7F9FB"/>
        <bgColor rgb="FFF4F7FB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FFAEC2DC"/>
      </left>
      <right style="thin">
        <color rgb="FFAEC2DC"/>
      </right>
      <top style="thin">
        <color rgb="FFAEC2DC"/>
      </top>
      <bottom style="medium">
        <color rgb="FFAEC2DC"/>
      </bottom>
      <diagonal style="none"/>
    </border>
    <border>
      <left style="none"/>
      <right style="none"/>
      <top style="none"/>
      <bottom style="hair">
        <color rgb="FFE4EAF2"/>
      </bottom>
      <diagonal style="none"/>
    </border>
    <border>
      <left style="none"/>
      <right style="none"/>
      <top style="medium">
        <color rgb="FF3E6DA3"/>
      </top>
      <bottom style="none"/>
      <diagonal style="none"/>
    </border>
    <border>
      <left style="thin">
        <color rgb="FFB4CDB9"/>
      </left>
      <right style="thin">
        <color rgb="FFB4CDB9"/>
      </right>
      <top style="thin">
        <color rgb="FFB4CDB9"/>
      </top>
      <bottom style="medium">
        <color rgb="FFB4CDB9"/>
      </bottom>
      <diagonal style="none"/>
    </border>
    <border>
      <left style="none"/>
      <right style="none"/>
      <top style="none"/>
      <bottom style="hair">
        <color rgb="FFE3EEE5"/>
      </bottom>
      <diagonal style="none"/>
    </border>
    <border>
      <left style="none"/>
      <right style="none"/>
      <top style="medium">
        <color rgb="FF4E8A5C"/>
      </top>
      <bottom style="none"/>
      <diagonal style="none"/>
    </border>
    <border>
      <left style="medium">
        <color rgb="FF7C6BB0"/>
      </left>
      <right style="none"/>
      <top style="none"/>
      <bottom style="none"/>
      <diagonal style="none"/>
    </border>
    <border>
      <left style="thin">
        <color rgb="FFC9BEE6"/>
      </left>
      <right style="thin">
        <color rgb="FFC9BEE6"/>
      </right>
      <top style="thin">
        <color rgb="FFC9BEE6"/>
      </top>
      <bottom style="medium">
        <color rgb="FFC9BEE6"/>
      </bottom>
      <diagonal style="none"/>
    </border>
    <border>
      <left style="none"/>
      <right style="none"/>
      <top style="none"/>
      <bottom style="hair">
        <color rgb="FFEBE5F5"/>
      </bottom>
      <diagonal style="none"/>
    </border>
    <border>
      <left style="none"/>
      <right style="none"/>
      <top style="medium">
        <color rgb="FF7C6BB0"/>
      </top>
      <bottom style="none"/>
      <diagonal style="none"/>
    </border>
    <border>
      <left style="none"/>
      <right style="none"/>
      <top style="none"/>
      <bottom style="medium">
        <color rgb="FF8A7358"/>
      </bottom>
      <diagonal style="none"/>
    </border>
    <border>
      <left style="thin">
        <color rgb="FFD8C9B4"/>
      </left>
      <right style="thin">
        <color rgb="FFD8C9B4"/>
      </right>
      <top style="thin">
        <color rgb="FFD8C9B4"/>
      </top>
      <bottom style="medium">
        <color rgb="FFD8C9B4"/>
      </bottom>
      <diagonal style="none"/>
    </border>
    <border>
      <left style="none"/>
      <right style="none"/>
      <top style="none"/>
      <bottom style="hair">
        <color rgb="FFEAE1D5"/>
      </bottom>
      <diagonal style="none"/>
    </border>
    <border>
      <left style="none"/>
      <right style="none"/>
      <top style="medium">
        <color rgb="FF8A7358"/>
      </top>
      <bottom style="none"/>
      <diagonal style="none"/>
    </border>
    <border>
      <left style="thin">
        <color rgb="FF9CC9C9"/>
      </left>
      <right style="thin">
        <color rgb="FF9CC9C9"/>
      </right>
      <top style="thin">
        <color rgb="FF9CC9C9"/>
      </top>
      <bottom style="medium">
        <color rgb="FF9CC9C9"/>
      </bottom>
      <diagonal style="none"/>
    </border>
    <border>
      <left style="none"/>
      <right style="none"/>
      <top style="none"/>
      <bottom style="hair">
        <color rgb="FFDCEBE9"/>
      </bottom>
      <diagonal style="none"/>
    </border>
    <border>
      <left style="none"/>
      <right style="none"/>
      <top style="medium">
        <color rgb="FF12787F"/>
      </top>
      <bottom style="none"/>
      <diagonal style="none"/>
    </border>
    <border>
      <left style="none"/>
      <right style="none"/>
      <top style="none"/>
      <bottom style="hair">
        <color rgb="FFE2E6EC"/>
      </bottom>
      <diagonal style="none"/>
    </border>
  </borders>
  <cellStyleXfs count="1">
    <xf fontId="0" fillId="0" borderId="0" numFmtId="0" applyNumberFormat="1" applyFont="1" applyFill="1" applyBorder="1"/>
  </cellStyleXfs>
  <cellXfs count="104">
    <xf fontId="0" fillId="0" borderId="0" numFmtId="0" xfId="0"/>
    <xf fontId="1" fillId="2" borderId="0" numFmtId="0" xfId="0" applyFont="1" applyFill="1" applyAlignment="1">
      <alignment horizontal="left" indent="1" vertical="center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/>
    </xf>
    <xf fontId="4" fillId="3" borderId="1" numFmtId="0" xfId="0" applyFont="1" applyFill="1" applyBorder="1" applyAlignment="1">
      <alignment horizontal="left" indent="1" vertical="center"/>
    </xf>
    <xf fontId="3" fillId="4" borderId="0" numFmtId="0" xfId="0" applyFont="1" applyFill="1" applyAlignment="1">
      <alignment horizontal="left" indent="1" vertical="center"/>
    </xf>
    <xf fontId="0" fillId="4" borderId="0" numFmtId="0" xfId="0" applyFill="1"/>
    <xf fontId="5" fillId="4" borderId="0" numFmtId="0" xfId="0" applyFont="1" applyFill="1" applyAlignment="1">
      <alignment horizontal="left" vertical="center"/>
    </xf>
    <xf fontId="3" fillId="4" borderId="0" numFmtId="0" xfId="0" applyFont="1" applyFill="1" applyAlignment="1">
      <alignment horizontal="left" vertical="center"/>
    </xf>
    <xf fontId="5" fillId="4" borderId="0" numFmtId="164" xfId="0" applyNumberFormat="1" applyFont="1" applyFill="1" applyAlignment="1">
      <alignment horizontal="right" indent="1" vertical="center"/>
    </xf>
    <xf fontId="6" fillId="0" borderId="0" numFmtId="0" xfId="0" applyFont="1" applyAlignment="1">
      <alignment horizontal="left" vertical="center"/>
    </xf>
    <xf fontId="7" fillId="2" borderId="0" numFmtId="0" xfId="0" applyFont="1" applyFill="1" applyAlignment="1">
      <alignment horizontal="left" indent="1" vertical="center"/>
    </xf>
    <xf fontId="7" fillId="2" borderId="0" numFmtId="0" xfId="0" applyFont="1" applyFill="1" applyAlignment="1">
      <alignment horizontal="right" indent="1" vertical="center"/>
    </xf>
    <xf fontId="8" fillId="3" borderId="2" numFmtId="1" xfId="0" applyNumberFormat="1" applyFont="1" applyFill="1" applyBorder="1" applyAlignment="1">
      <alignment horizontal="left" indent="1" vertical="center"/>
    </xf>
    <xf fontId="9" fillId="3" borderId="2" numFmtId="0" xfId="0" applyFont="1" applyFill="1" applyBorder="1" applyAlignment="1">
      <alignment horizontal="left" indent="1" vertical="center"/>
    </xf>
    <xf fontId="9" fillId="3" borderId="2" numFmtId="165" xfId="0" applyNumberFormat="1" applyFont="1" applyFill="1" applyBorder="1" applyAlignment="1">
      <alignment horizontal="right" indent="1" vertical="center"/>
    </xf>
    <xf fontId="8" fillId="5" borderId="2" numFmtId="1" xfId="0" applyNumberFormat="1" applyFont="1" applyFill="1" applyBorder="1" applyAlignment="1">
      <alignment horizontal="left" indent="1" vertical="center"/>
    </xf>
    <xf fontId="9" fillId="5" borderId="2" numFmtId="0" xfId="0" applyFont="1" applyFill="1" applyBorder="1" applyAlignment="1">
      <alignment horizontal="left" indent="1" vertical="center"/>
    </xf>
    <xf fontId="9" fillId="5" borderId="2" numFmtId="165" xfId="0" applyNumberFormat="1" applyFont="1" applyFill="1" applyBorder="1" applyAlignment="1">
      <alignment horizontal="right" indent="1" vertical="center"/>
    </xf>
    <xf fontId="10" fillId="6" borderId="3" numFmtId="0" xfId="0" applyFont="1" applyFill="1" applyBorder="1" applyAlignment="1">
      <alignment horizontal="left" indent="1" vertical="center"/>
    </xf>
    <xf fontId="11" fillId="6" borderId="3" numFmtId="165" xfId="0" applyNumberFormat="1" applyFont="1" applyFill="1" applyBorder="1" applyAlignment="1">
      <alignment horizontal="right" indent="1" vertical="center"/>
    </xf>
    <xf fontId="12" fillId="7" borderId="0" numFmtId="0" xfId="0" applyFont="1" applyFill="1" applyAlignment="1">
      <alignment horizontal="left" indent="1" vertical="center"/>
    </xf>
    <xf fontId="13" fillId="8" borderId="0" numFmtId="0" xfId="0" applyFont="1" applyFill="1" applyAlignment="1">
      <alignment horizontal="left" indent="1" vertical="center"/>
    </xf>
    <xf fontId="0" fillId="7" borderId="0" numFmtId="0" xfId="0" applyFill="1"/>
    <xf fontId="14" fillId="0" borderId="0" numFmtId="0" xfId="0" applyFont="1" applyAlignment="1">
      <alignment horizontal="left" vertical="center"/>
    </xf>
    <xf fontId="6" fillId="0" borderId="0" numFmtId="0" xfId="0" applyFont="1"/>
    <xf fontId="15" fillId="7" borderId="0" numFmtId="0" xfId="0" applyFont="1" applyFill="1" applyAlignment="1">
      <alignment horizontal="left"/>
    </xf>
    <xf fontId="7" fillId="8" borderId="0" numFmtId="0" xfId="0" applyFont="1" applyFill="1" applyAlignment="1">
      <alignment horizontal="left" indent="1" vertical="center"/>
    </xf>
    <xf fontId="7" fillId="8" borderId="0" numFmtId="0" xfId="0" applyFont="1" applyFill="1" applyAlignment="1">
      <alignment horizontal="right" indent="1" vertical="center"/>
    </xf>
    <xf fontId="4" fillId="3" borderId="4" numFmtId="0" xfId="0" applyFont="1" applyFill="1" applyBorder="1" applyAlignment="1">
      <alignment horizontal="left" indent="1" vertical="center"/>
    </xf>
    <xf fontId="8" fillId="3" borderId="5" numFmtId="1" xfId="0" applyNumberFormat="1" applyFont="1" applyFill="1" applyBorder="1" applyAlignment="1">
      <alignment horizontal="left" indent="1" vertical="center"/>
    </xf>
    <xf fontId="9" fillId="3" borderId="5" numFmtId="0" xfId="0" applyFont="1" applyFill="1" applyBorder="1" applyAlignment="1">
      <alignment horizontal="left" indent="1" vertical="center"/>
    </xf>
    <xf fontId="9" fillId="3" borderId="5" numFmtId="165" xfId="0" applyNumberFormat="1" applyFont="1" applyFill="1" applyBorder="1" applyAlignment="1">
      <alignment horizontal="right" indent="1" vertical="center"/>
    </xf>
    <xf fontId="8" fillId="9" borderId="5" numFmtId="1" xfId="0" applyNumberFormat="1" applyFont="1" applyFill="1" applyBorder="1" applyAlignment="1">
      <alignment horizontal="left" indent="1" vertical="center"/>
    </xf>
    <xf fontId="9" fillId="9" borderId="5" numFmtId="0" xfId="0" applyFont="1" applyFill="1" applyBorder="1" applyAlignment="1">
      <alignment horizontal="left" indent="1" vertical="center"/>
    </xf>
    <xf fontId="9" fillId="9" borderId="5" numFmtId="165" xfId="0" applyNumberFormat="1" applyFont="1" applyFill="1" applyBorder="1" applyAlignment="1">
      <alignment horizontal="right" indent="1" vertical="center"/>
    </xf>
    <xf fontId="15" fillId="7" borderId="0" numFmtId="0" xfId="0" applyFont="1" applyFill="1" applyAlignment="1">
      <alignment indent="1"/>
    </xf>
    <xf fontId="16" fillId="7" borderId="0" numFmtId="1" xfId="0" applyNumberFormat="1" applyFont="1" applyFill="1" applyAlignment="1">
      <alignment horizontal="left" indent="1" vertical="center"/>
    </xf>
    <xf fontId="17" fillId="7" borderId="0" numFmtId="164" xfId="0" applyNumberFormat="1" applyFont="1" applyFill="1" applyAlignment="1">
      <alignment horizontal="left" indent="1" vertical="center"/>
    </xf>
    <xf fontId="18" fillId="7" borderId="0" numFmtId="164" xfId="0" applyNumberFormat="1" applyFont="1" applyFill="1" applyAlignment="1">
      <alignment horizontal="left" indent="1" vertical="center"/>
    </xf>
    <xf fontId="19" fillId="10" borderId="6" numFmtId="0" xfId="0" applyFont="1" applyFill="1" applyBorder="1" applyAlignment="1">
      <alignment horizontal="left" indent="1" vertical="center"/>
    </xf>
    <xf fontId="12" fillId="10" borderId="6" numFmtId="165" xfId="0" applyNumberFormat="1" applyFont="1" applyFill="1" applyBorder="1" applyAlignment="1">
      <alignment horizontal="right" indent="1" vertical="center"/>
    </xf>
    <xf fontId="1" fillId="11" borderId="0" numFmtId="0" xfId="0" applyFont="1" applyFill="1" applyAlignment="1">
      <alignment horizontal="left" indent="1" vertical="center"/>
    </xf>
    <xf fontId="20" fillId="0" borderId="0" numFmtId="0" xfId="0" applyFont="1" applyAlignment="1">
      <alignment horizontal="left" vertical="center"/>
    </xf>
    <xf fontId="21" fillId="12" borderId="7" numFmtId="0" xfId="0" applyFont="1" applyFill="1" applyBorder="1" applyAlignment="1">
      <alignment horizontal="left" indent="1" vertical="top"/>
    </xf>
    <xf fontId="22" fillId="12" borderId="7" numFmtId="164" xfId="0" applyNumberFormat="1" applyFont="1" applyFill="1" applyBorder="1" applyAlignment="1">
      <alignment horizontal="left" indent="1" vertical="center"/>
    </xf>
    <xf fontId="22" fillId="12" borderId="7" numFmtId="1" xfId="0" applyNumberFormat="1" applyFont="1" applyFill="1" applyBorder="1" applyAlignment="1">
      <alignment horizontal="left" indent="1" vertical="center"/>
    </xf>
    <xf fontId="21" fillId="0" borderId="0" numFmtId="0" xfId="0" applyFont="1" applyAlignment="1">
      <alignment horizontal="left"/>
    </xf>
    <xf fontId="4" fillId="3" borderId="8" numFmtId="0" xfId="0" applyFont="1" applyFill="1" applyBorder="1" applyAlignment="1">
      <alignment horizontal="left" indent="1" vertical="center"/>
    </xf>
    <xf fontId="7" fillId="11" borderId="0" numFmtId="0" xfId="0" applyFont="1" applyFill="1" applyAlignment="1">
      <alignment horizontal="left" indent="1" vertical="center"/>
    </xf>
    <xf fontId="7" fillId="11" borderId="0" numFmtId="0" xfId="0" applyFont="1" applyFill="1" applyAlignment="1">
      <alignment horizontal="right" indent="1" vertical="center"/>
    </xf>
    <xf fontId="8" fillId="3" borderId="9" numFmtId="1" xfId="0" applyNumberFormat="1" applyFont="1" applyFill="1" applyBorder="1" applyAlignment="1">
      <alignment horizontal="left" indent="1" vertical="center"/>
    </xf>
    <xf fontId="9" fillId="3" borderId="9" numFmtId="0" xfId="0" applyFont="1" applyFill="1" applyBorder="1" applyAlignment="1">
      <alignment horizontal="left" indent="1" vertical="center"/>
    </xf>
    <xf fontId="9" fillId="3" borderId="9" numFmtId="165" xfId="0" applyNumberFormat="1" applyFont="1" applyFill="1" applyBorder="1" applyAlignment="1">
      <alignment horizontal="right" indent="1" vertical="center"/>
    </xf>
    <xf fontId="8" fillId="13" borderId="9" numFmtId="1" xfId="0" applyNumberFormat="1" applyFont="1" applyFill="1" applyBorder="1" applyAlignment="1">
      <alignment horizontal="left" indent="1" vertical="center"/>
    </xf>
    <xf fontId="9" fillId="13" borderId="9" numFmtId="0" xfId="0" applyFont="1" applyFill="1" applyBorder="1" applyAlignment="1">
      <alignment horizontal="left" indent="1" vertical="center"/>
    </xf>
    <xf fontId="9" fillId="13" borderId="9" numFmtId="165" xfId="0" applyNumberFormat="1" applyFont="1" applyFill="1" applyBorder="1" applyAlignment="1">
      <alignment horizontal="right" indent="1" vertical="center"/>
    </xf>
    <xf fontId="23" fillId="14" borderId="10" numFmtId="0" xfId="0" applyFont="1" applyFill="1" applyBorder="1" applyAlignment="1">
      <alignment horizontal="left" indent="1" vertical="center"/>
    </xf>
    <xf fontId="24" fillId="14" borderId="10" numFmtId="165" xfId="0" applyNumberFormat="1" applyFont="1" applyFill="1" applyBorder="1" applyAlignment="1">
      <alignment horizontal="right" indent="1" vertical="center"/>
    </xf>
    <xf fontId="25" fillId="0" borderId="0" numFmtId="0" xfId="0" applyFont="1" applyAlignment="1">
      <alignment horizontal="center" vertical="center"/>
    </xf>
    <xf fontId="0" fillId="0" borderId="11" numFmtId="0" xfId="0" applyBorder="1"/>
    <xf fontId="26" fillId="0" borderId="0" numFmtId="0" xfId="0" applyFont="1" applyAlignment="1">
      <alignment horizontal="center" vertical="center"/>
    </xf>
    <xf fontId="27" fillId="0" borderId="0" numFmtId="0" xfId="0" applyFont="1" applyAlignment="1">
      <alignment horizontal="right" vertical="center"/>
    </xf>
    <xf fontId="28" fillId="3" borderId="12" numFmtId="0" xfId="0" applyFont="1" applyFill="1" applyBorder="1" applyAlignment="1">
      <alignment horizontal="left" indent="1" vertical="center"/>
    </xf>
    <xf fontId="29" fillId="15" borderId="0" numFmtId="0" xfId="0" applyFont="1" applyFill="1" applyAlignment="1">
      <alignment horizontal="center" vertical="center"/>
    </xf>
    <xf fontId="30" fillId="0" borderId="0" numFmtId="0" xfId="0" applyFont="1" applyAlignment="1">
      <alignment horizontal="center"/>
    </xf>
    <xf fontId="31" fillId="16" borderId="0" numFmtId="0" xfId="0" applyFont="1" applyFill="1" applyAlignment="1">
      <alignment horizontal="left" indent="1" vertical="center"/>
    </xf>
    <xf fontId="31" fillId="16" borderId="0" numFmtId="0" xfId="0" applyFont="1" applyFill="1" applyAlignment="1">
      <alignment horizontal="right" indent="1" vertical="center"/>
    </xf>
    <xf fontId="8" fillId="3" borderId="13" numFmtId="1" xfId="0" applyNumberFormat="1" applyFont="1" applyFill="1" applyBorder="1" applyAlignment="1">
      <alignment horizontal="left" indent="1" vertical="center"/>
    </xf>
    <xf fontId="32" fillId="3" borderId="13" numFmtId="0" xfId="0" applyFont="1" applyFill="1" applyBorder="1" applyAlignment="1">
      <alignment horizontal="left" indent="1" vertical="center"/>
    </xf>
    <xf fontId="32" fillId="3" borderId="13" numFmtId="165" xfId="0" applyNumberFormat="1" applyFont="1" applyFill="1" applyBorder="1" applyAlignment="1">
      <alignment horizontal="right" indent="1" vertical="center"/>
    </xf>
    <xf fontId="8" fillId="17" borderId="13" numFmtId="1" xfId="0" applyNumberFormat="1" applyFont="1" applyFill="1" applyBorder="1" applyAlignment="1">
      <alignment horizontal="left" indent="1" vertical="center"/>
    </xf>
    <xf fontId="32" fillId="17" borderId="13" numFmtId="0" xfId="0" applyFont="1" applyFill="1" applyBorder="1" applyAlignment="1">
      <alignment horizontal="left" indent="1" vertical="center"/>
    </xf>
    <xf fontId="32" fillId="17" borderId="13" numFmtId="165" xfId="0" applyNumberFormat="1" applyFont="1" applyFill="1" applyBorder="1" applyAlignment="1">
      <alignment horizontal="right" indent="1" vertical="center"/>
    </xf>
    <xf fontId="31" fillId="16" borderId="14" numFmtId="0" xfId="0" applyFont="1" applyFill="1" applyBorder="1" applyAlignment="1">
      <alignment horizontal="left" indent="1" vertical="center"/>
    </xf>
    <xf fontId="33" fillId="16" borderId="14" numFmtId="165" xfId="0" applyNumberFormat="1" applyFont="1" applyFill="1" applyBorder="1" applyAlignment="1">
      <alignment horizontal="right" indent="1" vertical="center"/>
    </xf>
    <xf fontId="13" fillId="18" borderId="0" numFmtId="0" xfId="0" applyFont="1" applyFill="1" applyAlignment="1">
      <alignment horizontal="left" indent="1" vertical="center"/>
    </xf>
    <xf fontId="34" fillId="18" borderId="0" numFmtId="0" xfId="0" applyFont="1" applyFill="1" applyAlignment="1">
      <alignment horizontal="left" indent="1"/>
    </xf>
    <xf fontId="0" fillId="18" borderId="0" numFmtId="0" xfId="0" applyFill="1"/>
    <xf fontId="4" fillId="3" borderId="15" numFmtId="0" xfId="0" applyFont="1" applyFill="1" applyBorder="1" applyAlignment="1">
      <alignment horizontal="left" indent="1" vertical="center"/>
    </xf>
    <xf fontId="35" fillId="0" borderId="0" numFmtId="0" xfId="0" applyFont="1" applyAlignment="1">
      <alignment indent="1"/>
    </xf>
    <xf fontId="36" fillId="0" borderId="0" numFmtId="0" xfId="0" applyFont="1" applyAlignment="1">
      <alignment horizontal="right"/>
    </xf>
    <xf fontId="37" fillId="0" borderId="0" numFmtId="1" xfId="0" applyNumberFormat="1" applyFont="1" applyAlignment="1">
      <alignment horizontal="left" indent="1" vertical="center"/>
    </xf>
    <xf fontId="37" fillId="0" borderId="0" numFmtId="164" xfId="0" applyNumberFormat="1" applyFont="1" applyAlignment="1">
      <alignment horizontal="left" indent="1" vertical="center"/>
    </xf>
    <xf fontId="7" fillId="18" borderId="0" numFmtId="0" xfId="0" applyFont="1" applyFill="1" applyAlignment="1">
      <alignment horizontal="left" indent="1" vertical="center"/>
    </xf>
    <xf fontId="7" fillId="18" borderId="0" numFmtId="0" xfId="0" applyFont="1" applyFill="1" applyAlignment="1">
      <alignment horizontal="right" indent="1" vertical="center"/>
    </xf>
    <xf fontId="8" fillId="3" borderId="16" numFmtId="1" xfId="0" applyNumberFormat="1" applyFont="1" applyFill="1" applyBorder="1" applyAlignment="1">
      <alignment horizontal="left" indent="1" vertical="center"/>
    </xf>
    <xf fontId="9" fillId="3" borderId="16" numFmtId="0" xfId="0" applyFont="1" applyFill="1" applyBorder="1" applyAlignment="1">
      <alignment horizontal="left" indent="1" vertical="center"/>
    </xf>
    <xf fontId="9" fillId="3" borderId="16" numFmtId="165" xfId="0" applyNumberFormat="1" applyFont="1" applyFill="1" applyBorder="1" applyAlignment="1">
      <alignment horizontal="right" indent="1" vertical="center"/>
    </xf>
    <xf fontId="8" fillId="19" borderId="16" numFmtId="1" xfId="0" applyNumberFormat="1" applyFont="1" applyFill="1" applyBorder="1" applyAlignment="1">
      <alignment horizontal="left" indent="1" vertical="center"/>
    </xf>
    <xf fontId="9" fillId="19" borderId="16" numFmtId="0" xfId="0" applyFont="1" applyFill="1" applyBorder="1" applyAlignment="1">
      <alignment horizontal="left" indent="1" vertical="center"/>
    </xf>
    <xf fontId="9" fillId="19" borderId="16" numFmtId="165" xfId="0" applyNumberFormat="1" applyFont="1" applyFill="1" applyBorder="1" applyAlignment="1">
      <alignment horizontal="right" indent="1" vertical="center"/>
    </xf>
    <xf fontId="7" fillId="18" borderId="17" numFmtId="0" xfId="0" applyFont="1" applyFill="1" applyBorder="1" applyAlignment="1">
      <alignment horizontal="left" indent="1" vertical="center"/>
    </xf>
    <xf fontId="38" fillId="18" borderId="17" numFmtId="165" xfId="0" applyNumberFormat="1" applyFont="1" applyFill="1" applyBorder="1" applyAlignment="1">
      <alignment horizontal="right" indent="1" vertical="center"/>
    </xf>
    <xf fontId="39" fillId="0" borderId="0" numFmtId="0" xfId="0" applyFont="1" applyAlignment="1">
      <alignment horizontal="left" vertical="center"/>
    </xf>
    <xf fontId="40" fillId="0" borderId="0" numFmtId="0" xfId="0" applyFont="1"/>
    <xf fontId="41" fillId="20" borderId="0" numFmtId="0" xfId="0" applyFont="1" applyFill="1" applyAlignment="1">
      <alignment horizontal="center" vertical="center"/>
    </xf>
    <xf fontId="42" fillId="21" borderId="18" numFmtId="0" xfId="0" applyFont="1" applyFill="1" applyBorder="1" applyAlignment="1">
      <alignment horizontal="left" indent="1" vertical="center"/>
    </xf>
    <xf fontId="43" fillId="21" borderId="18" numFmtId="1" xfId="0" applyNumberFormat="1" applyFont="1" applyFill="1" applyBorder="1" applyAlignment="1">
      <alignment horizontal="left" indent="1" vertical="center"/>
    </xf>
    <xf fontId="42" fillId="21" borderId="18" numFmtId="165" xfId="0" applyNumberFormat="1" applyFont="1" applyFill="1" applyBorder="1" applyAlignment="1">
      <alignment horizontal="right" vertical="center"/>
    </xf>
    <xf fontId="42" fillId="3" borderId="18" numFmtId="0" xfId="0" applyFont="1" applyFill="1" applyBorder="1" applyAlignment="1">
      <alignment horizontal="left" indent="1" vertical="center"/>
    </xf>
    <xf fontId="43" fillId="3" borderId="18" numFmtId="1" xfId="0" applyNumberFormat="1" applyFont="1" applyFill="1" applyBorder="1" applyAlignment="1">
      <alignment horizontal="left" indent="1" vertical="center"/>
    </xf>
    <xf fontId="42" fillId="3" borderId="18" numFmtId="165" xfId="0" applyNumberFormat="1" applyFont="1" applyFill="1" applyBorder="1" applyAlignment="1">
      <alignment horizontal="right" vertical="center"/>
    </xf>
    <xf fontId="0" fillId="0" borderId="0" numFmtId="4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theme" Target="theme/theme1.xml"/><Relationship  Id="rId9" Type="http://schemas.openxmlformats.org/officeDocument/2006/relationships/sharedStrings" Target="sharedString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0" workbookViewId="0">
      <pane ySplit="11" topLeftCell="A12" activePane="bottomLeft" state="frozen"/>
      <selection activeCell="B6" activeCellId="0" sqref="B6:C6"/>
    </sheetView>
  </sheetViews>
  <sheetFormatPr baseColWidth="10" defaultColWidth="8.6640625" defaultRowHeight="15"/>
  <cols>
    <col customWidth="1" min="1" max="1" width="2.5"/>
    <col customWidth="1" min="2" max="2" width="16"/>
    <col customWidth="1" min="3" max="4" width="22"/>
    <col customWidth="1" min="5" max="7" width="18"/>
    <col customWidth="1" min="8" max="9" width="16"/>
    <col customWidth="1" min="10" max="10" width="2.5"/>
  </cols>
  <sheetData>
    <row r="2" ht="39.75" customHeight="1">
      <c r="B2" s="1" t="s">
        <v>0</v>
      </c>
      <c r="C2" s="1"/>
      <c r="D2" s="1"/>
      <c r="E2" s="1"/>
      <c r="F2" s="1"/>
      <c r="G2" s="1"/>
      <c r="H2" s="1"/>
      <c r="I2" s="1"/>
    </row>
    <row r="3" ht="19.5" customHeight="1">
      <c r="B3" s="2" t="s">
        <v>1</v>
      </c>
      <c r="C3" s="2"/>
      <c r="D3" s="2"/>
      <c r="E3" s="2"/>
      <c r="F3" s="2"/>
      <c r="G3" s="2"/>
      <c r="H3" s="2"/>
      <c r="I3" s="2"/>
    </row>
    <row r="5" ht="15" customHeight="1">
      <c r="B5" s="3" t="s">
        <v>2</v>
      </c>
      <c r="D5" s="3" t="s">
        <v>3</v>
      </c>
      <c r="F5" s="3" t="s">
        <v>4</v>
      </c>
      <c r="H5" s="3" t="s">
        <v>5</v>
      </c>
    </row>
    <row r="6" ht="25.5" customHeight="1">
      <c r="B6" s="4" t="s">
        <v>6</v>
      </c>
      <c r="C6" s="4"/>
      <c r="D6" s="4"/>
      <c r="E6" s="4"/>
      <c r="F6" s="4"/>
      <c r="G6" s="4"/>
      <c r="H6" s="4"/>
      <c r="I6" s="4"/>
    </row>
    <row r="8" ht="30" customHeight="1">
      <c r="B8" s="5" t="s">
        <v>7</v>
      </c>
      <c r="C8" s="6"/>
      <c r="D8" s="7">
        <f>SUM(D0_Flag)</f>
        <v>8</v>
      </c>
      <c r="E8" s="6"/>
      <c r="F8" s="8" t="s">
        <v>8</v>
      </c>
      <c r="G8" s="9">
        <f>SUMPRODUCT(D0_Flag*DATASET!$I$2:$I$47)</f>
        <v>20795457.959999997</v>
      </c>
      <c r="H8" s="9"/>
      <c r="I8" s="9"/>
    </row>
    <row r="9" ht="15" customHeight="1">
      <c r="B9" s="10" t="str">
        <f>IF(SUM(D0_Flag)=0,"No matching records for the current filters.","")</f>
        <v/>
      </c>
      <c r="C9" s="10"/>
      <c r="D9" s="10"/>
      <c r="E9" s="10"/>
      <c r="F9" s="10"/>
      <c r="G9" s="10"/>
      <c r="H9" s="10"/>
      <c r="I9" s="10"/>
    </row>
    <row r="11" ht="24" customHeight="1">
      <c r="B11" s="11" t="s">
        <v>9</v>
      </c>
      <c r="C11" s="11" t="s">
        <v>10</v>
      </c>
      <c r="D11" s="11"/>
      <c r="E11" s="11"/>
      <c r="F11" s="11"/>
      <c r="G11" s="11"/>
      <c r="H11" s="12" t="s">
        <v>11</v>
      </c>
      <c r="I11" s="12"/>
    </row>
    <row r="12" ht="18.75" customHeight="1">
      <c r="B12" s="13" t="str">
        <f>IFERROR(INDEX(DATASET!$G$2:$G$47,MATCH(1,D0_Rank,0)),"")</f>
        <v>19764</v>
      </c>
      <c r="C12" s="14" t="str">
        <f>IFERROR(INDEX(DATASET!$H$2:$H$47,MATCH(1,D0_Rank,0)),"")</f>
        <v xml:space="preserve">FERRARI MILANO S.R.L.</v>
      </c>
      <c r="D12" s="14"/>
      <c r="E12" s="14"/>
      <c r="F12" s="14"/>
      <c r="G12" s="14"/>
      <c r="H12" s="15">
        <f>IFERROR(INDEX(DATASET!$I$2:$I$47,MATCH(1,D0_Rank,0)),"")</f>
        <v>19457205.629999999</v>
      </c>
      <c r="I12" s="15"/>
    </row>
    <row r="13" ht="18.75" customHeight="1">
      <c r="B13" s="16" t="str">
        <f>IFERROR(INDEX(DATASET!$G$2:$G$47,MATCH(2,D0_Rank,0)),"")</f>
        <v>19764</v>
      </c>
      <c r="C13" s="17" t="str">
        <f>IFERROR(INDEX(DATASET!$H$2:$H$47,MATCH(2,D0_Rank,0)),"")</f>
        <v xml:space="preserve">FERRARI MILANO S.R.L.</v>
      </c>
      <c r="D13" s="17"/>
      <c r="E13" s="17"/>
      <c r="F13" s="17"/>
      <c r="G13" s="17"/>
      <c r="H13" s="18">
        <f>IFERROR(INDEX(DATASET!$I$2:$I$47,MATCH(2,D0_Rank,0)),"")</f>
        <v>1158000</v>
      </c>
      <c r="I13" s="18"/>
    </row>
    <row r="14" ht="18.75" customHeight="1">
      <c r="B14" s="13" t="str">
        <f>IFERROR(INDEX(DATASET!$G$2:$G$47,MATCH(3,D0_Rank,0)),"")</f>
        <v>19764</v>
      </c>
      <c r="C14" s="14" t="str">
        <f>IFERROR(INDEX(DATASET!$H$2:$H$47,MATCH(3,D0_Rank,0)),"")</f>
        <v xml:space="preserve">FERRARI MILANO S.R.L.</v>
      </c>
      <c r="D14" s="14"/>
      <c r="E14" s="14"/>
      <c r="F14" s="14"/>
      <c r="G14" s="14"/>
      <c r="H14" s="15">
        <f>IFERROR(INDEX(DATASET!$I$2:$I$47,MATCH(3,D0_Rank,0)),"")</f>
        <v>81873.800000000003</v>
      </c>
      <c r="I14" s="15"/>
    </row>
    <row r="15" ht="18.75" customHeight="1">
      <c r="B15" s="16" t="str">
        <f>IFERROR(INDEX(DATASET!$G$2:$G$47,MATCH(4,D0_Rank,0)),"")</f>
        <v>32650</v>
      </c>
      <c r="C15" s="17" t="str">
        <f>IFERROR(INDEX(DATASET!$H$2:$H$47,MATCH(4,D0_Rank,0)),"")</f>
        <v xml:space="preserve">STONE ISLAND S.R.L.</v>
      </c>
      <c r="D15" s="17"/>
      <c r="E15" s="17"/>
      <c r="F15" s="17"/>
      <c r="G15" s="17"/>
      <c r="H15" s="18">
        <f>IFERROR(INDEX(DATASET!$I$2:$I$47,MATCH(4,D0_Rank,0)),"")</f>
        <v>8500</v>
      </c>
      <c r="I15" s="18"/>
    </row>
    <row r="16" ht="18.75" customHeight="1">
      <c r="B16" s="13" t="str">
        <f>IFERROR(INDEX(DATASET!$G$2:$G$47,MATCH(5,D0_Rank,0)),"")</f>
        <v>10030100910</v>
      </c>
      <c r="C16" s="14" t="str">
        <f>IFERROR(INDEX(DATASET!$H$2:$H$47,MATCH(5,D0_Rank,0)),"")</f>
        <v xml:space="preserve">IVA in compensazione entro es. succ.</v>
      </c>
      <c r="D16" s="14"/>
      <c r="E16" s="14"/>
      <c r="F16" s="14"/>
      <c r="G16" s="14"/>
      <c r="H16" s="15">
        <f>IFERROR(INDEX(DATASET!$I$2:$I$47,MATCH(5,D0_Rank,0)),"")</f>
        <v>167</v>
      </c>
      <c r="I16" s="15"/>
    </row>
    <row r="17" ht="18.75" customHeight="1">
      <c r="B17" s="16" t="str">
        <f>IFERROR(INDEX(DATASET!$G$2:$G$47,MATCH(6,D0_Rank,0)),"")</f>
        <v>10030100915</v>
      </c>
      <c r="C17" s="17" t="str">
        <f>IFERROR(INDEX(DATASET!$H$2:$H$47,MATCH(6,D0_Rank,0)),"")</f>
        <v xml:space="preserve">IRPEF/IRES in compensaz. entro es.succ.</v>
      </c>
      <c r="D17" s="17"/>
      <c r="E17" s="17"/>
      <c r="F17" s="17"/>
      <c r="G17" s="17"/>
      <c r="H17" s="18">
        <f>IFERROR(INDEX(DATASET!$I$2:$I$47,MATCH(6,D0_Rank,0)),"")</f>
        <v>60907.199999999997</v>
      </c>
      <c r="I17" s="18"/>
    </row>
    <row r="18" ht="18.75" customHeight="1">
      <c r="B18" s="13" t="str">
        <f>IFERROR(INDEX(DATASET!$G$2:$G$47,MATCH(7,D0_Rank,0)),"")</f>
        <v>100301710</v>
      </c>
      <c r="C18" s="14" t="str">
        <f>IFERROR(INDEX(DATASET!$H$2:$H$47,MATCH(7,D0_Rank,0)),"")</f>
        <v xml:space="preserve">IRES per imposte anticipate</v>
      </c>
      <c r="D18" s="14"/>
      <c r="E18" s="14"/>
      <c r="F18" s="14"/>
      <c r="G18" s="14"/>
      <c r="H18" s="15">
        <f>IFERROR(INDEX(DATASET!$I$2:$I$47,MATCH(7,D0_Rank,0)),"")</f>
        <v>5403.04</v>
      </c>
      <c r="I18" s="15"/>
    </row>
    <row r="19" ht="18.75" customHeight="1">
      <c r="B19" s="16" t="str">
        <f>IFERROR(INDEX(DATASET!$G$2:$G$47,MATCH(8,D0_Rank,0)),"")</f>
        <v>1201015</v>
      </c>
      <c r="C19" s="17" t="str">
        <f>IFERROR(INDEX(DATASET!$H$2:$H$47,MATCH(8,D0_Rank,0)),"")</f>
        <v xml:space="preserve">Banca Popolare di Sondrio</v>
      </c>
      <c r="D19" s="17"/>
      <c r="E19" s="17"/>
      <c r="F19" s="17"/>
      <c r="G19" s="17"/>
      <c r="H19" s="18">
        <f>IFERROR(INDEX(DATASET!$I$2:$I$47,MATCH(8,D0_Rank,0)),"")</f>
        <v>23401.290000000001</v>
      </c>
      <c r="I19" s="18"/>
    </row>
    <row r="20" ht="18.75" customHeight="1">
      <c r="B20" s="13" t="str">
        <f>IFERROR(INDEX(DATASET!$G$2:$G$47,MATCH(9,D0_Rank,0)),"")</f>
        <v/>
      </c>
      <c r="C20" s="14" t="str">
        <f>IFERROR(INDEX(DATASET!$H$2:$H$47,MATCH(9,D0_Rank,0)),"")</f>
        <v/>
      </c>
      <c r="D20" s="14"/>
      <c r="E20" s="14"/>
      <c r="F20" s="14"/>
      <c r="G20" s="14"/>
      <c r="H20" s="15" t="str">
        <f>IFERROR(INDEX(DATASET!$I$2:$I$47,MATCH(9,D0_Rank,0)),"")</f>
        <v/>
      </c>
      <c r="I20" s="15"/>
    </row>
    <row r="21" ht="18.75" customHeight="1">
      <c r="B21" s="16" t="str">
        <f>IFERROR(INDEX(DATASET!$G$2:$G$47,MATCH(10,D0_Rank,0)),"")</f>
        <v/>
      </c>
      <c r="C21" s="17" t="str">
        <f>IFERROR(INDEX(DATASET!$H$2:$H$47,MATCH(10,D0_Rank,0)),"")</f>
        <v/>
      </c>
      <c r="D21" s="17"/>
      <c r="E21" s="17"/>
      <c r="F21" s="17"/>
      <c r="G21" s="17"/>
      <c r="H21" s="18" t="str">
        <f>IFERROR(INDEX(DATASET!$I$2:$I$47,MATCH(10,D0_Rank,0)),"")</f>
        <v/>
      </c>
      <c r="I21" s="18"/>
    </row>
    <row r="22" ht="18.75" customHeight="1">
      <c r="B22" s="13" t="str">
        <f>IFERROR(INDEX(DATASET!$G$2:$G$47,MATCH(11,D0_Rank,0)),"")</f>
        <v/>
      </c>
      <c r="C22" s="14" t="str">
        <f>IFERROR(INDEX(DATASET!$H$2:$H$47,MATCH(11,D0_Rank,0)),"")</f>
        <v/>
      </c>
      <c r="D22" s="14"/>
      <c r="E22" s="14"/>
      <c r="F22" s="14"/>
      <c r="G22" s="14"/>
      <c r="H22" s="15" t="str">
        <f>IFERROR(INDEX(DATASET!$I$2:$I$47,MATCH(11,D0_Rank,0)),"")</f>
        <v/>
      </c>
      <c r="I22" s="15"/>
    </row>
    <row r="23" ht="18.75" customHeight="1">
      <c r="B23" s="16" t="str">
        <f>IFERROR(INDEX(DATASET!$G$2:$G$47,MATCH(12,D0_Rank,0)),"")</f>
        <v/>
      </c>
      <c r="C23" s="17" t="str">
        <f>IFERROR(INDEX(DATASET!$H$2:$H$47,MATCH(12,D0_Rank,0)),"")</f>
        <v/>
      </c>
      <c r="D23" s="17"/>
      <c r="E23" s="17"/>
      <c r="F23" s="17"/>
      <c r="G23" s="17"/>
      <c r="H23" s="18" t="str">
        <f>IFERROR(INDEX(DATASET!$I$2:$I$47,MATCH(12,D0_Rank,0)),"")</f>
        <v/>
      </c>
      <c r="I23" s="18"/>
    </row>
    <row r="24" ht="18.75" customHeight="1">
      <c r="B24" s="13" t="str">
        <f>IFERROR(INDEX(DATASET!$G$2:$G$47,MATCH(13,D0_Rank,0)),"")</f>
        <v/>
      </c>
      <c r="C24" s="14" t="str">
        <f>IFERROR(INDEX(DATASET!$H$2:$H$47,MATCH(13,D0_Rank,0)),"")</f>
        <v/>
      </c>
      <c r="D24" s="14"/>
      <c r="E24" s="14"/>
      <c r="F24" s="14"/>
      <c r="G24" s="14"/>
      <c r="H24" s="15" t="str">
        <f>IFERROR(INDEX(DATASET!$I$2:$I$47,MATCH(13,D0_Rank,0)),"")</f>
        <v/>
      </c>
      <c r="I24" s="15"/>
    </row>
    <row r="25" ht="18.75" customHeight="1">
      <c r="B25" s="16" t="str">
        <f>IFERROR(INDEX(DATASET!$G$2:$G$47,MATCH(14,D0_Rank,0)),"")</f>
        <v/>
      </c>
      <c r="C25" s="17" t="str">
        <f>IFERROR(INDEX(DATASET!$H$2:$H$47,MATCH(14,D0_Rank,0)),"")</f>
        <v/>
      </c>
      <c r="D25" s="17"/>
      <c r="E25" s="17"/>
      <c r="F25" s="17"/>
      <c r="G25" s="17"/>
      <c r="H25" s="18" t="str">
        <f>IFERROR(INDEX(DATASET!$I$2:$I$47,MATCH(14,D0_Rank,0)),"")</f>
        <v/>
      </c>
      <c r="I25" s="18"/>
    </row>
    <row r="26" ht="18.75" customHeight="1">
      <c r="B26" s="13" t="str">
        <f>IFERROR(INDEX(DATASET!$G$2:$G$47,MATCH(15,D0_Rank,0)),"")</f>
        <v/>
      </c>
      <c r="C26" s="14" t="str">
        <f>IFERROR(INDEX(DATASET!$H$2:$H$47,MATCH(15,D0_Rank,0)),"")</f>
        <v/>
      </c>
      <c r="D26" s="14"/>
      <c r="E26" s="14"/>
      <c r="F26" s="14"/>
      <c r="G26" s="14"/>
      <c r="H26" s="15" t="str">
        <f>IFERROR(INDEX(DATASET!$I$2:$I$47,MATCH(15,D0_Rank,0)),"")</f>
        <v/>
      </c>
      <c r="I26" s="15"/>
    </row>
    <row r="27" ht="18.75" customHeight="1">
      <c r="B27" s="16" t="str">
        <f>IFERROR(INDEX(DATASET!$G$2:$G$47,MATCH(16,D0_Rank,0)),"")</f>
        <v/>
      </c>
      <c r="C27" s="17" t="str">
        <f>IFERROR(INDEX(DATASET!$H$2:$H$47,MATCH(16,D0_Rank,0)),"")</f>
        <v/>
      </c>
      <c r="D27" s="17"/>
      <c r="E27" s="17"/>
      <c r="F27" s="17"/>
      <c r="G27" s="17"/>
      <c r="H27" s="18" t="str">
        <f>IFERROR(INDEX(DATASET!$I$2:$I$47,MATCH(16,D0_Rank,0)),"")</f>
        <v/>
      </c>
      <c r="I27" s="18"/>
    </row>
    <row r="28" ht="18.75" customHeight="1">
      <c r="B28" s="13" t="str">
        <f>IFERROR(INDEX(DATASET!$G$2:$G$47,MATCH(17,D0_Rank,0)),"")</f>
        <v/>
      </c>
      <c r="C28" s="14" t="str">
        <f>IFERROR(INDEX(DATASET!$H$2:$H$47,MATCH(17,D0_Rank,0)),"")</f>
        <v/>
      </c>
      <c r="D28" s="14"/>
      <c r="E28" s="14"/>
      <c r="F28" s="14"/>
      <c r="G28" s="14"/>
      <c r="H28" s="15" t="str">
        <f>IFERROR(INDEX(DATASET!$I$2:$I$47,MATCH(17,D0_Rank,0)),"")</f>
        <v/>
      </c>
      <c r="I28" s="15"/>
    </row>
    <row r="29" ht="18.75" customHeight="1">
      <c r="B29" s="16" t="str">
        <f>IFERROR(INDEX(DATASET!$G$2:$G$47,MATCH(18,D0_Rank,0)),"")</f>
        <v/>
      </c>
      <c r="C29" s="17" t="str">
        <f>IFERROR(INDEX(DATASET!$H$2:$H$47,MATCH(18,D0_Rank,0)),"")</f>
        <v/>
      </c>
      <c r="D29" s="17"/>
      <c r="E29" s="17"/>
      <c r="F29" s="17"/>
      <c r="G29" s="17"/>
      <c r="H29" s="18" t="str">
        <f>IFERROR(INDEX(DATASET!$I$2:$I$47,MATCH(18,D0_Rank,0)),"")</f>
        <v/>
      </c>
      <c r="I29" s="18"/>
    </row>
    <row r="30" ht="18.75" customHeight="1">
      <c r="B30" s="13" t="str">
        <f>IFERROR(INDEX(DATASET!$G$2:$G$47,MATCH(19,D0_Rank,0)),"")</f>
        <v/>
      </c>
      <c r="C30" s="14" t="str">
        <f>IFERROR(INDEX(DATASET!$H$2:$H$47,MATCH(19,D0_Rank,0)),"")</f>
        <v/>
      </c>
      <c r="D30" s="14"/>
      <c r="E30" s="14"/>
      <c r="F30" s="14"/>
      <c r="G30" s="14"/>
      <c r="H30" s="15" t="str">
        <f>IFERROR(INDEX(DATASET!$I$2:$I$47,MATCH(19,D0_Rank,0)),"")</f>
        <v/>
      </c>
      <c r="I30" s="15"/>
    </row>
    <row r="31" ht="18.75" customHeight="1">
      <c r="B31" s="16" t="str">
        <f>IFERROR(INDEX(DATASET!$G$2:$G$47,MATCH(20,D0_Rank,0)),"")</f>
        <v/>
      </c>
      <c r="C31" s="17" t="str">
        <f>IFERROR(INDEX(DATASET!$H$2:$H$47,MATCH(20,D0_Rank,0)),"")</f>
        <v/>
      </c>
      <c r="D31" s="17"/>
      <c r="E31" s="17"/>
      <c r="F31" s="17"/>
      <c r="G31" s="17"/>
      <c r="H31" s="18" t="str">
        <f>IFERROR(INDEX(DATASET!$I$2:$I$47,MATCH(20,D0_Rank,0)),"")</f>
        <v/>
      </c>
      <c r="I31" s="18"/>
    </row>
    <row r="32" ht="18.75" customHeight="1">
      <c r="B32" s="13" t="str">
        <f>IFERROR(INDEX(DATASET!$G$2:$G$47,MATCH(21,D0_Rank,0)),"")</f>
        <v/>
      </c>
      <c r="C32" s="14" t="str">
        <f>IFERROR(INDEX(DATASET!$H$2:$H$47,MATCH(21,D0_Rank,0)),"")</f>
        <v/>
      </c>
      <c r="D32" s="14"/>
      <c r="E32" s="14"/>
      <c r="F32" s="14"/>
      <c r="G32" s="14"/>
      <c r="H32" s="15" t="str">
        <f>IFERROR(INDEX(DATASET!$I$2:$I$47,MATCH(21,D0_Rank,0)),"")</f>
        <v/>
      </c>
      <c r="I32" s="15"/>
    </row>
    <row r="33" ht="18.75" customHeight="1">
      <c r="B33" s="16" t="str">
        <f>IFERROR(INDEX(DATASET!$G$2:$G$47,MATCH(22,D0_Rank,0)),"")</f>
        <v/>
      </c>
      <c r="C33" s="17" t="str">
        <f>IFERROR(INDEX(DATASET!$H$2:$H$47,MATCH(22,D0_Rank,0)),"")</f>
        <v/>
      </c>
      <c r="D33" s="17"/>
      <c r="E33" s="17"/>
      <c r="F33" s="17"/>
      <c r="G33" s="17"/>
      <c r="H33" s="18" t="str">
        <f>IFERROR(INDEX(DATASET!$I$2:$I$47,MATCH(22,D0_Rank,0)),"")</f>
        <v/>
      </c>
      <c r="I33" s="18"/>
    </row>
    <row r="34" ht="18.75" customHeight="1">
      <c r="B34" s="13" t="str">
        <f>IFERROR(INDEX(DATASET!$G$2:$G$47,MATCH(23,D0_Rank,0)),"")</f>
        <v/>
      </c>
      <c r="C34" s="14" t="str">
        <f>IFERROR(INDEX(DATASET!$H$2:$H$47,MATCH(23,D0_Rank,0)),"")</f>
        <v/>
      </c>
      <c r="D34" s="14"/>
      <c r="E34" s="14"/>
      <c r="F34" s="14"/>
      <c r="G34" s="14"/>
      <c r="H34" s="15" t="str">
        <f>IFERROR(INDEX(DATASET!$I$2:$I$47,MATCH(23,D0_Rank,0)),"")</f>
        <v/>
      </c>
      <c r="I34" s="15"/>
    </row>
    <row r="35" ht="18.75" customHeight="1">
      <c r="B35" s="16" t="str">
        <f>IFERROR(INDEX(DATASET!$G$2:$G$47,MATCH(24,D0_Rank,0)),"")</f>
        <v/>
      </c>
      <c r="C35" s="17" t="str">
        <f>IFERROR(INDEX(DATASET!$H$2:$H$47,MATCH(24,D0_Rank,0)),"")</f>
        <v/>
      </c>
      <c r="D35" s="17"/>
      <c r="E35" s="17"/>
      <c r="F35" s="17"/>
      <c r="G35" s="17"/>
      <c r="H35" s="18" t="str">
        <f>IFERROR(INDEX(DATASET!$I$2:$I$47,MATCH(24,D0_Rank,0)),"")</f>
        <v/>
      </c>
      <c r="I35" s="18"/>
    </row>
    <row r="36" ht="18.75" customHeight="1">
      <c r="B36" s="13" t="str">
        <f>IFERROR(INDEX(DATASET!$G$2:$G$47,MATCH(25,D0_Rank,0)),"")</f>
        <v/>
      </c>
      <c r="C36" s="14" t="str">
        <f>IFERROR(INDEX(DATASET!$H$2:$H$47,MATCH(25,D0_Rank,0)),"")</f>
        <v/>
      </c>
      <c r="D36" s="14"/>
      <c r="E36" s="14"/>
      <c r="F36" s="14"/>
      <c r="G36" s="14"/>
      <c r="H36" s="15" t="str">
        <f>IFERROR(INDEX(DATASET!$I$2:$I$47,MATCH(25,D0_Rank,0)),"")</f>
        <v/>
      </c>
      <c r="I36" s="15"/>
    </row>
    <row r="37" ht="18.75" customHeight="1">
      <c r="B37" s="16" t="str">
        <f>IFERROR(INDEX(DATASET!$G$2:$G$47,MATCH(26,D0_Rank,0)),"")</f>
        <v/>
      </c>
      <c r="C37" s="17" t="str">
        <f>IFERROR(INDEX(DATASET!$H$2:$H$47,MATCH(26,D0_Rank,0)),"")</f>
        <v/>
      </c>
      <c r="D37" s="17"/>
      <c r="E37" s="17"/>
      <c r="F37" s="17"/>
      <c r="G37" s="17"/>
      <c r="H37" s="18" t="str">
        <f>IFERROR(INDEX(DATASET!$I$2:$I$47,MATCH(26,D0_Rank,0)),"")</f>
        <v/>
      </c>
      <c r="I37" s="18"/>
    </row>
    <row r="38" ht="18.75" customHeight="1">
      <c r="B38" s="13" t="str">
        <f>IFERROR(INDEX(DATASET!$G$2:$G$47,MATCH(27,D0_Rank,0)),"")</f>
        <v/>
      </c>
      <c r="C38" s="14" t="str">
        <f>IFERROR(INDEX(DATASET!$H$2:$H$47,MATCH(27,D0_Rank,0)),"")</f>
        <v/>
      </c>
      <c r="D38" s="14"/>
      <c r="E38" s="14"/>
      <c r="F38" s="14"/>
      <c r="G38" s="14"/>
      <c r="H38" s="15" t="str">
        <f>IFERROR(INDEX(DATASET!$I$2:$I$47,MATCH(27,D0_Rank,0)),"")</f>
        <v/>
      </c>
      <c r="I38" s="15"/>
    </row>
    <row r="39" ht="18.75" customHeight="1">
      <c r="B39" s="16" t="str">
        <f>IFERROR(INDEX(DATASET!$G$2:$G$47,MATCH(28,D0_Rank,0)),"")</f>
        <v/>
      </c>
      <c r="C39" s="17" t="str">
        <f>IFERROR(INDEX(DATASET!$H$2:$H$47,MATCH(28,D0_Rank,0)),"")</f>
        <v/>
      </c>
      <c r="D39" s="17"/>
      <c r="E39" s="17"/>
      <c r="F39" s="17"/>
      <c r="G39" s="17"/>
      <c r="H39" s="18" t="str">
        <f>IFERROR(INDEX(DATASET!$I$2:$I$47,MATCH(28,D0_Rank,0)),"")</f>
        <v/>
      </c>
      <c r="I39" s="18"/>
    </row>
    <row r="40" ht="18.75" customHeight="1">
      <c r="B40" s="13" t="str">
        <f>IFERROR(INDEX(DATASET!$G$2:$G$47,MATCH(29,D0_Rank,0)),"")</f>
        <v/>
      </c>
      <c r="C40" s="14" t="str">
        <f>IFERROR(INDEX(DATASET!$H$2:$H$47,MATCH(29,D0_Rank,0)),"")</f>
        <v/>
      </c>
      <c r="D40" s="14"/>
      <c r="E40" s="14"/>
      <c r="F40" s="14"/>
      <c r="G40" s="14"/>
      <c r="H40" s="15" t="str">
        <f>IFERROR(INDEX(DATASET!$I$2:$I$47,MATCH(29,D0_Rank,0)),"")</f>
        <v/>
      </c>
      <c r="I40" s="15"/>
    </row>
    <row r="41" ht="18.75" customHeight="1">
      <c r="B41" s="16" t="str">
        <f>IFERROR(INDEX(DATASET!$G$2:$G$47,MATCH(30,D0_Rank,0)),"")</f>
        <v/>
      </c>
      <c r="C41" s="17" t="str">
        <f>IFERROR(INDEX(DATASET!$H$2:$H$47,MATCH(30,D0_Rank,0)),"")</f>
        <v/>
      </c>
      <c r="D41" s="17"/>
      <c r="E41" s="17"/>
      <c r="F41" s="17"/>
      <c r="G41" s="17"/>
      <c r="H41" s="18" t="str">
        <f>IFERROR(INDEX(DATASET!$I$2:$I$47,MATCH(30,D0_Rank,0)),"")</f>
        <v/>
      </c>
      <c r="I41" s="18"/>
    </row>
    <row r="42" ht="18.75" customHeight="1">
      <c r="B42" s="13" t="str">
        <f>IFERROR(INDEX(DATASET!$G$2:$G$47,MATCH(31,D0_Rank,0)),"")</f>
        <v/>
      </c>
      <c r="C42" s="14" t="str">
        <f>IFERROR(INDEX(DATASET!$H$2:$H$47,MATCH(31,D0_Rank,0)),"")</f>
        <v/>
      </c>
      <c r="D42" s="14"/>
      <c r="E42" s="14"/>
      <c r="F42" s="14"/>
      <c r="G42" s="14"/>
      <c r="H42" s="15" t="str">
        <f>IFERROR(INDEX(DATASET!$I$2:$I$47,MATCH(31,D0_Rank,0)),"")</f>
        <v/>
      </c>
      <c r="I42" s="15"/>
    </row>
    <row r="43" ht="18.75" customHeight="1">
      <c r="B43" s="16" t="str">
        <f>IFERROR(INDEX(DATASET!$G$2:$G$47,MATCH(32,D0_Rank,0)),"")</f>
        <v/>
      </c>
      <c r="C43" s="17" t="str">
        <f>IFERROR(INDEX(DATASET!$H$2:$H$47,MATCH(32,D0_Rank,0)),"")</f>
        <v/>
      </c>
      <c r="D43" s="17"/>
      <c r="E43" s="17"/>
      <c r="F43" s="17"/>
      <c r="G43" s="17"/>
      <c r="H43" s="18" t="str">
        <f>IFERROR(INDEX(DATASET!$I$2:$I$47,MATCH(32,D0_Rank,0)),"")</f>
        <v/>
      </c>
      <c r="I43" s="18"/>
    </row>
    <row r="44" ht="18.75" customHeight="1">
      <c r="B44" s="13" t="str">
        <f>IFERROR(INDEX(DATASET!$G$2:$G$47,MATCH(33,D0_Rank,0)),"")</f>
        <v/>
      </c>
      <c r="C44" s="14" t="str">
        <f>IFERROR(INDEX(DATASET!$H$2:$H$47,MATCH(33,D0_Rank,0)),"")</f>
        <v/>
      </c>
      <c r="D44" s="14"/>
      <c r="E44" s="14"/>
      <c r="F44" s="14"/>
      <c r="G44" s="14"/>
      <c r="H44" s="15" t="str">
        <f>IFERROR(INDEX(DATASET!$I$2:$I$47,MATCH(33,D0_Rank,0)),"")</f>
        <v/>
      </c>
      <c r="I44" s="15"/>
    </row>
    <row r="45" ht="18.75" customHeight="1">
      <c r="B45" s="16" t="str">
        <f>IFERROR(INDEX(DATASET!$G$2:$G$47,MATCH(34,D0_Rank,0)),"")</f>
        <v/>
      </c>
      <c r="C45" s="17" t="str">
        <f>IFERROR(INDEX(DATASET!$H$2:$H$47,MATCH(34,D0_Rank,0)),"")</f>
        <v/>
      </c>
      <c r="D45" s="17"/>
      <c r="E45" s="17"/>
      <c r="F45" s="17"/>
      <c r="G45" s="17"/>
      <c r="H45" s="18" t="str">
        <f>IFERROR(INDEX(DATASET!$I$2:$I$47,MATCH(34,D0_Rank,0)),"")</f>
        <v/>
      </c>
      <c r="I45" s="18"/>
    </row>
    <row r="46" ht="18.75" customHeight="1">
      <c r="B46" s="13" t="str">
        <f>IFERROR(INDEX(DATASET!$G$2:$G$47,MATCH(35,D0_Rank,0)),"")</f>
        <v/>
      </c>
      <c r="C46" s="14" t="str">
        <f>IFERROR(INDEX(DATASET!$H$2:$H$47,MATCH(35,D0_Rank,0)),"")</f>
        <v/>
      </c>
      <c r="D46" s="14"/>
      <c r="E46" s="14"/>
      <c r="F46" s="14"/>
      <c r="G46" s="14"/>
      <c r="H46" s="15" t="str">
        <f>IFERROR(INDEX(DATASET!$I$2:$I$47,MATCH(35,D0_Rank,0)),"")</f>
        <v/>
      </c>
      <c r="I46" s="15"/>
    </row>
    <row r="47" ht="18.75" customHeight="1">
      <c r="B47" s="16" t="str">
        <f>IFERROR(INDEX(DATASET!$G$2:$G$47,MATCH(36,D0_Rank,0)),"")</f>
        <v/>
      </c>
      <c r="C47" s="17" t="str">
        <f>IFERROR(INDEX(DATASET!$H$2:$H$47,MATCH(36,D0_Rank,0)),"")</f>
        <v/>
      </c>
      <c r="D47" s="17"/>
      <c r="E47" s="17"/>
      <c r="F47" s="17"/>
      <c r="G47" s="17"/>
      <c r="H47" s="18" t="str">
        <f>IFERROR(INDEX(DATASET!$I$2:$I$47,MATCH(36,D0_Rank,0)),"")</f>
        <v/>
      </c>
      <c r="I47" s="18"/>
    </row>
    <row r="48" ht="18.75" customHeight="1">
      <c r="B48" s="13" t="str">
        <f>IFERROR(INDEX(DATASET!$G$2:$G$47,MATCH(37,D0_Rank,0)),"")</f>
        <v/>
      </c>
      <c r="C48" s="14" t="str">
        <f>IFERROR(INDEX(DATASET!$H$2:$H$47,MATCH(37,D0_Rank,0)),"")</f>
        <v/>
      </c>
      <c r="D48" s="14"/>
      <c r="E48" s="14"/>
      <c r="F48" s="14"/>
      <c r="G48" s="14"/>
      <c r="H48" s="15" t="str">
        <f>IFERROR(INDEX(DATASET!$I$2:$I$47,MATCH(37,D0_Rank,0)),"")</f>
        <v/>
      </c>
      <c r="I48" s="15"/>
    </row>
    <row r="49" ht="18.75" customHeight="1">
      <c r="B49" s="16" t="str">
        <f>IFERROR(INDEX(DATASET!$G$2:$G$47,MATCH(38,D0_Rank,0)),"")</f>
        <v/>
      </c>
      <c r="C49" s="17" t="str">
        <f>IFERROR(INDEX(DATASET!$H$2:$H$47,MATCH(38,D0_Rank,0)),"")</f>
        <v/>
      </c>
      <c r="D49" s="17"/>
      <c r="E49" s="17"/>
      <c r="F49" s="17"/>
      <c r="G49" s="17"/>
      <c r="H49" s="18" t="str">
        <f>IFERROR(INDEX(DATASET!$I$2:$I$47,MATCH(38,D0_Rank,0)),"")</f>
        <v/>
      </c>
      <c r="I49" s="18"/>
    </row>
    <row r="50" ht="18.75" customHeight="1">
      <c r="B50" s="13" t="str">
        <f>IFERROR(INDEX(DATASET!$G$2:$G$47,MATCH(39,D0_Rank,0)),"")</f>
        <v/>
      </c>
      <c r="C50" s="14" t="str">
        <f>IFERROR(INDEX(DATASET!$H$2:$H$47,MATCH(39,D0_Rank,0)),"")</f>
        <v/>
      </c>
      <c r="D50" s="14"/>
      <c r="E50" s="14"/>
      <c r="F50" s="14"/>
      <c r="G50" s="14"/>
      <c r="H50" s="15" t="str">
        <f>IFERROR(INDEX(DATASET!$I$2:$I$47,MATCH(39,D0_Rank,0)),"")</f>
        <v/>
      </c>
      <c r="I50" s="15"/>
    </row>
    <row r="51" ht="18.75" customHeight="1">
      <c r="B51" s="16" t="str">
        <f>IFERROR(INDEX(DATASET!$G$2:$G$47,MATCH(40,D0_Rank,0)),"")</f>
        <v/>
      </c>
      <c r="C51" s="17" t="str">
        <f>IFERROR(INDEX(DATASET!$H$2:$H$47,MATCH(40,D0_Rank,0)),"")</f>
        <v/>
      </c>
      <c r="D51" s="17"/>
      <c r="E51" s="17"/>
      <c r="F51" s="17"/>
      <c r="G51" s="17"/>
      <c r="H51" s="18" t="str">
        <f>IFERROR(INDEX(DATASET!$I$2:$I$47,MATCH(40,D0_Rank,0)),"")</f>
        <v/>
      </c>
      <c r="I51" s="18"/>
    </row>
    <row r="52" ht="24" customHeight="1">
      <c r="B52" s="19" t="s">
        <v>12</v>
      </c>
      <c r="C52" s="19"/>
      <c r="D52" s="19"/>
      <c r="E52" s="19"/>
      <c r="F52" s="19"/>
      <c r="G52" s="19"/>
      <c r="H52" s="20">
        <f>SUMPRODUCT(D0_Flag*DATASET!$I$2:$I$47)</f>
        <v>20795457.959999997</v>
      </c>
      <c r="I52" s="20"/>
    </row>
    <row r="54">
      <c r="B54" s="2" t="s">
        <v>13</v>
      </c>
      <c r="C54" s="2"/>
      <c r="D54" s="2"/>
      <c r="E54" s="2"/>
      <c r="F54" s="2"/>
      <c r="G54" s="2"/>
      <c r="H54" s="2"/>
    </row>
  </sheetData>
  <mergeCells count="93">
    <mergeCell ref="B52:G52"/>
    <mergeCell ref="H52:I52"/>
    <mergeCell ref="B54:H54"/>
    <mergeCell ref="C49:G49"/>
    <mergeCell ref="H49:I49"/>
    <mergeCell ref="C50:G50"/>
    <mergeCell ref="H50:I50"/>
    <mergeCell ref="C51:G51"/>
    <mergeCell ref="H51:I51"/>
    <mergeCell ref="C46:G46"/>
    <mergeCell ref="H46:I46"/>
    <mergeCell ref="C47:G47"/>
    <mergeCell ref="H47:I47"/>
    <mergeCell ref="C48:G48"/>
    <mergeCell ref="H48:I48"/>
    <mergeCell ref="C43:G43"/>
    <mergeCell ref="H43:I43"/>
    <mergeCell ref="C44:G44"/>
    <mergeCell ref="H44:I44"/>
    <mergeCell ref="C45:G45"/>
    <mergeCell ref="H45:I45"/>
    <mergeCell ref="C40:G40"/>
    <mergeCell ref="H40:I40"/>
    <mergeCell ref="C41:G41"/>
    <mergeCell ref="H41:I41"/>
    <mergeCell ref="C42:G42"/>
    <mergeCell ref="H42:I42"/>
    <mergeCell ref="C37:G37"/>
    <mergeCell ref="H37:I37"/>
    <mergeCell ref="C38:G38"/>
    <mergeCell ref="H38:I38"/>
    <mergeCell ref="C39:G39"/>
    <mergeCell ref="H39:I39"/>
    <mergeCell ref="C34:G34"/>
    <mergeCell ref="H34:I34"/>
    <mergeCell ref="C35:G35"/>
    <mergeCell ref="H35:I35"/>
    <mergeCell ref="C36:G36"/>
    <mergeCell ref="H36:I36"/>
    <mergeCell ref="C31:G31"/>
    <mergeCell ref="H31:I31"/>
    <mergeCell ref="C32:G32"/>
    <mergeCell ref="H32:I32"/>
    <mergeCell ref="C33:G33"/>
    <mergeCell ref="H33:I33"/>
    <mergeCell ref="C28:G28"/>
    <mergeCell ref="H28:I28"/>
    <mergeCell ref="C29:G29"/>
    <mergeCell ref="H29:I29"/>
    <mergeCell ref="C30:G30"/>
    <mergeCell ref="H30:I30"/>
    <mergeCell ref="C25:G25"/>
    <mergeCell ref="H25:I25"/>
    <mergeCell ref="C26:G26"/>
    <mergeCell ref="H26:I26"/>
    <mergeCell ref="C27:G27"/>
    <mergeCell ref="H27:I27"/>
    <mergeCell ref="C22:G22"/>
    <mergeCell ref="H22:I22"/>
    <mergeCell ref="C23:G23"/>
    <mergeCell ref="H23:I23"/>
    <mergeCell ref="C24:G24"/>
    <mergeCell ref="H24:I24"/>
    <mergeCell ref="C19:G19"/>
    <mergeCell ref="H19:I19"/>
    <mergeCell ref="C20:G20"/>
    <mergeCell ref="H20:I20"/>
    <mergeCell ref="C21:G21"/>
    <mergeCell ref="H21:I21"/>
    <mergeCell ref="C16:G16"/>
    <mergeCell ref="H16:I16"/>
    <mergeCell ref="C17:G17"/>
    <mergeCell ref="H17:I17"/>
    <mergeCell ref="C18:G18"/>
    <mergeCell ref="H18:I18"/>
    <mergeCell ref="C13:G13"/>
    <mergeCell ref="H13:I13"/>
    <mergeCell ref="C14:G14"/>
    <mergeCell ref="H14:I14"/>
    <mergeCell ref="C15:G15"/>
    <mergeCell ref="H15:I15"/>
    <mergeCell ref="G8:I8"/>
    <mergeCell ref="B9:I9"/>
    <mergeCell ref="C11:G11"/>
    <mergeCell ref="H11:I11"/>
    <mergeCell ref="C12:G12"/>
    <mergeCell ref="H12:I12"/>
    <mergeCell ref="B2:I2"/>
    <mergeCell ref="B3:I3"/>
    <mergeCell ref="B6:C6"/>
    <mergeCell ref="D6:E6"/>
    <mergeCell ref="F6:G6"/>
    <mergeCell ref="H6:I6"/>
  </mergeCells>
  <printOptions headings="0" gridLines="0"/>
  <pageMargins left="0.29999999999999999" right="0.29999999999999999" top="0.40000000000000008" bottom="0.40000000000000008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51C8D2B4-9FA8-4AEF-B2AF-D99CA4D061EF}" type="list" allowBlank="1" errorStyle="stop" imeMode="noControl" operator="between" showDropDown="0" showErrorMessage="0" showInputMessage="0">
          <x14:formula1>
            <xm:f>MacroOpts</xm:f>
          </x14:formula1>
          <x14:formula2>
            <xm:f>0</xm:f>
          </x14:formula2>
          <xm:sqref>B6</xm:sqref>
        </x14:dataValidation>
        <x14:dataValidation xr:uid="{B2ECB297-C383-4605-BF82-6BB28DFAD916}" type="list" allowBlank="1" errorStyle="stop" imeMode="noControl" operator="between" showDropDown="0" showErrorMessage="0" showInputMessage="0">
          <x14:formula1>
            <xm:f>D0_SubOpts</xm:f>
          </x14:formula1>
          <x14:formula2>
            <xm:f>0</xm:f>
          </x14:formula2>
          <xm:sqref>D6</xm:sqref>
        </x14:dataValidation>
        <x14:dataValidation xr:uid="{AB2A2D67-63D5-4E17-83F3-943EAD9D76EA}" type="list" allowBlank="1" errorStyle="stop" imeMode="noControl" operator="between" showDropDown="0" showErrorMessage="0" showInputMessage="0">
          <x14:formula1>
            <xm:f>D0_ItemOpts</xm:f>
          </x14:formula1>
          <x14:formula2>
            <xm:f>0</xm:f>
          </x14:formula2>
          <xm:sqref>F6</xm:sqref>
        </x14:dataValidation>
        <x14:dataValidation xr:uid="{1E63CC9B-96AF-42EF-97F8-709F4F622A01}" type="list" allowBlank="1" errorStyle="stop" imeMode="noControl" operator="between" showDropDown="0" showErrorMessage="0" showInputMessage="0">
          <x14:formula1>
            <xm:f>D0_SitOpts</xm:f>
          </x14:formula1>
          <x14:formula2>
            <xm:f>0</xm:f>
          </x14:formula2>
          <xm:sqref>H6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0" workbookViewId="0">
      <pane xSplit="4" ySplit="5" topLeftCell="E6" activePane="bottomRight" state="frozen"/>
      <selection activeCell="A1" activeCellId="0" sqref="A1"/>
    </sheetView>
  </sheetViews>
  <sheetFormatPr baseColWidth="10" defaultColWidth="8.6640625" defaultRowHeight="15"/>
  <cols>
    <col customWidth="1" min="1" max="1" width="2.5"/>
    <col customWidth="1" min="2" max="3" width="15"/>
    <col customWidth="1" min="4" max="4" width="3"/>
    <col customWidth="1" min="5" max="5" width="15"/>
    <col customWidth="1" min="6" max="7" width="22"/>
    <col customWidth="1" min="8" max="10" width="18"/>
    <col customWidth="1" min="11" max="11" width="2.5"/>
  </cols>
  <sheetData>
    <row r="2" ht="36" customHeight="1">
      <c r="B2" s="21" t="s">
        <v>14</v>
      </c>
      <c r="C2" s="21"/>
      <c r="E2" s="22" t="s">
        <v>0</v>
      </c>
      <c r="F2" s="22"/>
      <c r="G2" s="22"/>
      <c r="H2" s="22"/>
      <c r="I2" s="22"/>
      <c r="J2" s="22"/>
    </row>
    <row r="3" ht="15" customHeight="1">
      <c r="B3" s="23"/>
      <c r="C3" s="23"/>
      <c r="E3" s="24" t="s">
        <v>15</v>
      </c>
      <c r="F3" s="24"/>
      <c r="G3" s="24"/>
      <c r="H3" s="24"/>
      <c r="I3" s="24"/>
      <c r="J3" s="24"/>
    </row>
    <row r="4" ht="15" customHeight="1">
      <c r="B4" s="23"/>
      <c r="C4" s="23"/>
      <c r="E4" s="25" t="str">
        <f>IF(SUM(D1_Flag)=0,"No matching records for the current filters.","")</f>
        <v/>
      </c>
      <c r="F4" s="25"/>
      <c r="G4" s="25"/>
      <c r="H4" s="25"/>
      <c r="I4" s="25"/>
      <c r="J4" s="25"/>
    </row>
    <row r="5" ht="15" customHeight="1">
      <c r="B5" s="23"/>
      <c r="C5" s="23"/>
    </row>
    <row r="6" ht="24" customHeight="1">
      <c r="B6" s="26" t="s">
        <v>2</v>
      </c>
      <c r="C6" s="23"/>
      <c r="E6" s="27" t="s">
        <v>9</v>
      </c>
      <c r="F6" s="27" t="s">
        <v>10</v>
      </c>
      <c r="G6" s="27"/>
      <c r="H6" s="27"/>
      <c r="I6" s="27"/>
      <c r="J6" s="28" t="s">
        <v>11</v>
      </c>
    </row>
    <row r="7" ht="18.75" customHeight="1">
      <c r="B7" s="29"/>
      <c r="C7" s="29"/>
      <c r="E7" s="30" t="str">
        <f>IFERROR(INDEX(DATASET!$G$2:$G$47,MATCH(1,D1_Rank,0)),"")</f>
        <v>600151010</v>
      </c>
      <c r="F7" s="31" t="str">
        <f>IFERROR(INDEX(DATASET!$H$2:$H$47,MATCH(1,D1_Rank,0)),"")</f>
        <v xml:space="preserve">Ricavi per prestazioni Italia</v>
      </c>
      <c r="G7" s="31"/>
      <c r="H7" s="31"/>
      <c r="I7" s="31"/>
      <c r="J7" s="32">
        <f>IFERROR(INDEX(DATASET!$I$2:$I$47,MATCH(1,D1_Rank,0)),"")</f>
        <v>110000</v>
      </c>
    </row>
    <row r="8" ht="18.75" customHeight="1">
      <c r="B8" s="26" t="s">
        <v>3</v>
      </c>
      <c r="C8" s="23"/>
      <c r="E8" s="33" t="str">
        <f>IFERROR(INDEX(DATASET!$G$2:$G$47,MATCH(2,D1_Rank,0)),"")</f>
        <v>6401215</v>
      </c>
      <c r="F8" s="34" t="str">
        <f>IFERROR(INDEX(DATASET!$H$2:$H$47,MATCH(2,D1_Rank,0)),"")</f>
        <v xml:space="preserve">Abbuoni e arrotondamenti attivi</v>
      </c>
      <c r="G8" s="34"/>
      <c r="H8" s="34"/>
      <c r="I8" s="34"/>
      <c r="J8" s="35">
        <f>IFERROR(INDEX(DATASET!$I$2:$I$47,MATCH(2,D1_Rank,0)),"")</f>
        <v>0.77000000000000002</v>
      </c>
    </row>
    <row r="9" ht="18.75" customHeight="1">
      <c r="B9" s="29"/>
      <c r="C9" s="29"/>
      <c r="E9" s="30" t="str">
        <f>IFERROR(INDEX(DATASET!$G$2:$G$47,MATCH(3,D1_Rank,0)),"")</f>
        <v>6901252</v>
      </c>
      <c r="F9" s="31" t="str">
        <f>IFERROR(INDEX(DATASET!$H$2:$H$47,MATCH(3,D1_Rank,0)),"")</f>
        <v xml:space="preserve">Compenso professionisti</v>
      </c>
      <c r="G9" s="31"/>
      <c r="H9" s="31"/>
      <c r="I9" s="31"/>
      <c r="J9" s="32">
        <f>IFERROR(INDEX(DATASET!$I$2:$I$47,MATCH(3,D1_Rank,0)),"")</f>
        <v>136994.78</v>
      </c>
    </row>
    <row r="10" ht="18.75" customHeight="1">
      <c r="B10" s="26" t="s">
        <v>4</v>
      </c>
      <c r="C10" s="23"/>
      <c r="E10" s="33" t="str">
        <f>IFERROR(INDEX(DATASET!$G$2:$G$47,MATCH(4,D1_Rank,0)),"")</f>
        <v>690181015</v>
      </c>
      <c r="F10" s="34" t="str">
        <f>IFERROR(INDEX(DATASET!$H$2:$H$47,MATCH(4,D1_Rank,0)),"")</f>
        <v xml:space="preserve">Consulenze e collaborazioni tecniche</v>
      </c>
      <c r="G10" s="34"/>
      <c r="H10" s="34"/>
      <c r="I10" s="34"/>
      <c r="J10" s="35">
        <f>IFERROR(INDEX(DATASET!$I$2:$I$47,MATCH(4,D1_Rank,0)),"")</f>
        <v>5367.0200000000004</v>
      </c>
    </row>
    <row r="11" ht="18.75" customHeight="1">
      <c r="B11" s="29"/>
      <c r="C11" s="29"/>
      <c r="E11" s="30" t="str">
        <f>IFERROR(INDEX(DATASET!$G$2:$G$47,MATCH(5,D1_Rank,0)),"")</f>
        <v>690182015</v>
      </c>
      <c r="F11" s="31" t="str">
        <f>IFERROR(INDEX(DATASET!$H$2:$H$47,MATCH(5,D1_Rank,0)),"")</f>
        <v xml:space="preserve">Prestazioni notarili</v>
      </c>
      <c r="G11" s="31"/>
      <c r="H11" s="31"/>
      <c r="I11" s="31"/>
      <c r="J11" s="32">
        <f>IFERROR(INDEX(DATASET!$I$2:$I$47,MATCH(5,D1_Rank,0)),"")</f>
        <v>153.75</v>
      </c>
    </row>
    <row r="12" ht="18.75" customHeight="1">
      <c r="B12" s="26" t="s">
        <v>5</v>
      </c>
      <c r="C12" s="23"/>
      <c r="E12" s="33" t="str">
        <f>IFERROR(INDEX(DATASET!$G$2:$G$47,MATCH(6,D1_Rank,0)),"")</f>
        <v>690182025</v>
      </c>
      <c r="F12" s="34" t="str">
        <f>IFERROR(INDEX(DATASET!$H$2:$H$47,MATCH(6,D1_Rank,0)),"")</f>
        <v xml:space="preserve">Consulenza fiscale e societaria</v>
      </c>
      <c r="G12" s="34"/>
      <c r="H12" s="34"/>
      <c r="I12" s="34"/>
      <c r="J12" s="35">
        <f>IFERROR(INDEX(DATASET!$I$2:$I$47,MATCH(6,D1_Rank,0)),"")</f>
        <v>24023.639999999999</v>
      </c>
    </row>
    <row r="13" ht="18.75" customHeight="1">
      <c r="B13" s="29"/>
      <c r="C13" s="29"/>
      <c r="E13" s="30" t="str">
        <f>IFERROR(INDEX(DATASET!$G$2:$G$47,MATCH(7,D1_Rank,0)),"")</f>
        <v>690182520</v>
      </c>
      <c r="F13" s="31" t="str">
        <f>IFERROR(INDEX(DATASET!$H$2:$H$47,MATCH(7,D1_Rank,0)),"")</f>
        <v xml:space="preserve">Spese e servizi bancari (non finanziari)</v>
      </c>
      <c r="G13" s="31"/>
      <c r="H13" s="31"/>
      <c r="I13" s="31"/>
      <c r="J13" s="32">
        <f>IFERROR(INDEX(DATASET!$I$2:$I$47,MATCH(7,D1_Rank,0)),"")</f>
        <v>184.25</v>
      </c>
    </row>
    <row r="14" ht="18.75" customHeight="1">
      <c r="B14" s="23"/>
      <c r="C14" s="23"/>
      <c r="E14" s="33" t="str">
        <f>IFERROR(INDEX(DATASET!$G$2:$G$47,MATCH(8,D1_Rank,0)),"")</f>
        <v>690242520</v>
      </c>
      <c r="F14" s="34" t="str">
        <f>IFERROR(INDEX(DATASET!$H$2:$H$47,MATCH(8,D1_Rank,0)),"")</f>
        <v xml:space="preserve">Emolumenti collegio sindacale ded. IRAP</v>
      </c>
      <c r="G14" s="34"/>
      <c r="H14" s="34"/>
      <c r="I14" s="34"/>
      <c r="J14" s="35">
        <f>IFERROR(INDEX(DATASET!$I$2:$I$47,MATCH(8,D1_Rank,0)),"")</f>
        <v>2537.5999999999999</v>
      </c>
    </row>
    <row r="15" ht="18.75" customHeight="1">
      <c r="B15" s="36" t="s">
        <v>7</v>
      </c>
      <c r="C15" s="23"/>
      <c r="E15" s="30" t="str">
        <f>IFERROR(INDEX(DATASET!$G$2:$G$47,MATCH(9,D1_Rank,0)),"")</f>
        <v>690243010</v>
      </c>
      <c r="F15" s="31" t="str">
        <f>IFERROR(INDEX(DATASET!$H$2:$H$47,MATCH(9,D1_Rank,0)),"")</f>
        <v xml:space="preserve">Compensi revisione contabile</v>
      </c>
      <c r="G15" s="31"/>
      <c r="H15" s="31"/>
      <c r="I15" s="31"/>
      <c r="J15" s="32">
        <f>IFERROR(INDEX(DATASET!$I$2:$I$47,MATCH(9,D1_Rank,0)),"")</f>
        <v>19975.900000000001</v>
      </c>
    </row>
    <row r="16" ht="18.75" customHeight="1">
      <c r="B16" s="37">
        <f>SUM(D1_Flag)</f>
        <v>40</v>
      </c>
      <c r="C16" s="23"/>
      <c r="E16" s="33" t="str">
        <f>IFERROR(INDEX(DATASET!$G$2:$G$47,MATCH(10,D1_Rank,0)),"")</f>
        <v>760101510</v>
      </c>
      <c r="F16" s="34" t="str">
        <f>IFERROR(INDEX(DATASET!$H$2:$H$47,MATCH(10,D1_Rank,0)),"")</f>
        <v xml:space="preserve">Imposta di bollo</v>
      </c>
      <c r="G16" s="34"/>
      <c r="H16" s="34"/>
      <c r="I16" s="34"/>
      <c r="J16" s="35">
        <f>IFERROR(INDEX(DATASET!$I$2:$I$47,MATCH(10,D1_Rank,0)),"")</f>
        <v>100</v>
      </c>
    </row>
    <row r="17" ht="18.75" customHeight="1">
      <c r="B17" s="23"/>
      <c r="C17" s="23"/>
      <c r="E17" s="30" t="str">
        <f>IFERROR(INDEX(DATASET!$G$2:$G$47,MATCH(11,D1_Rank,0)),"")</f>
        <v>760102015</v>
      </c>
      <c r="F17" s="31" t="str">
        <f>IFERROR(INDEX(DATASET!$H$2:$H$47,MATCH(11,D1_Rank,0)),"")</f>
        <v xml:space="preserve">Tassa annuale libri sociali</v>
      </c>
      <c r="G17" s="31"/>
      <c r="H17" s="31"/>
      <c r="I17" s="31"/>
      <c r="J17" s="32">
        <f>IFERROR(INDEX(DATASET!$I$2:$I$47,MATCH(11,D1_Rank,0)),"")</f>
        <v>309.87</v>
      </c>
    </row>
    <row r="18" ht="18.75" customHeight="1">
      <c r="B18" s="36" t="s">
        <v>8</v>
      </c>
      <c r="C18" s="23"/>
      <c r="E18" s="33" t="str">
        <f>IFERROR(INDEX(DATASET!$G$2:$G$47,MATCH(12,D1_Rank,0)),"")</f>
        <v>76020015</v>
      </c>
      <c r="F18" s="34" t="str">
        <f>IFERROR(INDEX(DATASET!$H$2:$H$47,MATCH(12,D1_Rank,0)),"")</f>
        <v xml:space="preserve">Spese camerali, catastali e diritti vari</v>
      </c>
      <c r="G18" s="34"/>
      <c r="H18" s="34"/>
      <c r="I18" s="34"/>
      <c r="J18" s="35">
        <f>IFERROR(INDEX(DATASET!$I$2:$I$47,MATCH(12,D1_Rank,0)),"")</f>
        <v>121</v>
      </c>
    </row>
    <row r="19" ht="18.75" customHeight="1">
      <c r="B19" s="38">
        <f>SUMPRODUCT(D1_Flag*DATASET!$I$2:$I$47)</f>
        <v>41943266.74000001</v>
      </c>
      <c r="C19" s="38"/>
      <c r="E19" s="30" t="str">
        <f>IFERROR(INDEX(DATASET!$G$2:$G$47,MATCH(13,D1_Rank,0)),"")</f>
        <v>76020040</v>
      </c>
      <c r="F19" s="31" t="str">
        <f>IFERROR(INDEX(DATASET!$H$2:$H$47,MATCH(13,D1_Rank,0)),"")</f>
        <v xml:space="preserve">Abbuoni e arr.pass.non compr.nei ricavi</v>
      </c>
      <c r="G19" s="31"/>
      <c r="H19" s="31"/>
      <c r="I19" s="31"/>
      <c r="J19" s="32">
        <f>IFERROR(INDEX(DATASET!$I$2:$I$47,MATCH(13,D1_Rank,0)),"")</f>
        <v>0.59999999999999998</v>
      </c>
    </row>
    <row r="20" ht="18.75" customHeight="1">
      <c r="B20" s="23"/>
      <c r="C20" s="23"/>
      <c r="E20" s="33" t="str">
        <f>IFERROR(INDEX(DATASET!$G$2:$G$47,MATCH(14,D1_Rank,0)),"")</f>
        <v>90050</v>
      </c>
      <c r="F20" s="34" t="str">
        <f>IFERROR(INDEX(DATASET!$H$2:$H$47,MATCH(14,D1_Rank,0)),"")</f>
        <v xml:space="preserve">Proventi da consolidato</v>
      </c>
      <c r="G20" s="34"/>
      <c r="H20" s="34"/>
      <c r="I20" s="34"/>
      <c r="J20" s="35">
        <f>IFERROR(INDEX(DATASET!$I$2:$I$47,MATCH(14,D1_Rank,0)),"")</f>
        <v>137497</v>
      </c>
    </row>
    <row r="21" ht="18.75" customHeight="1">
      <c r="B21" s="36" t="s">
        <v>16</v>
      </c>
      <c r="C21" s="23"/>
      <c r="E21" s="30" t="str">
        <f>IFERROR(INDEX(DATASET!$G$2:$G$47,MATCH(15,D1_Rank,0)),"")</f>
        <v>85015020</v>
      </c>
      <c r="F21" s="31" t="str">
        <f>IFERROR(INDEX(DATASET!$H$2:$H$47,MATCH(15,D1_Rank,0)),"")</f>
        <v xml:space="preserve">Interessi su debiti verso altri</v>
      </c>
      <c r="G21" s="31"/>
      <c r="H21" s="31"/>
      <c r="I21" s="31"/>
      <c r="J21" s="32">
        <f>IFERROR(INDEX(DATASET!$I$2:$I$47,MATCH(15,D1_Rank,0)),"")</f>
        <v>-549776</v>
      </c>
    </row>
    <row r="22" ht="18.75" customHeight="1">
      <c r="B22" s="39">
        <f>IF(SUM(D1_Flag)=0,"–",MAX(D1_Mask))</f>
        <v>19457205.629999999</v>
      </c>
      <c r="C22" s="39"/>
      <c r="E22" s="33" t="str">
        <f>IFERROR(INDEX(DATASET!$G$2:$G$47,MATCH(16,D1_Rank,0)),"")</f>
        <v>85015050</v>
      </c>
      <c r="F22" s="34" t="str">
        <f>IFERROR(INDEX(DATASET!$H$2:$H$47,MATCH(16,D1_Rank,0)),"")</f>
        <v xml:space="preserve">Interessi indeducibili IVA trimestrale</v>
      </c>
      <c r="G22" s="34"/>
      <c r="H22" s="34"/>
      <c r="I22" s="34"/>
      <c r="J22" s="35">
        <f>IFERROR(INDEX(DATASET!$I$2:$I$47,MATCH(16,D1_Rank,0)),"")</f>
        <v>-35.420000000000002</v>
      </c>
    </row>
    <row r="23" ht="18.75" customHeight="1">
      <c r="B23" s="23"/>
      <c r="C23" s="23"/>
      <c r="E23" s="30" t="str">
        <f>IFERROR(INDEX(DATASET!$G$2:$G$47,MATCH(17,D1_Rank,0)),"")</f>
        <v>91010</v>
      </c>
      <c r="F23" s="31" t="str">
        <f>IFERROR(INDEX(DATASET!$H$2:$H$47,MATCH(17,D1_Rank,0)),"")</f>
        <v xml:space="preserve">IRES differita</v>
      </c>
      <c r="G23" s="31"/>
      <c r="H23" s="31"/>
      <c r="I23" s="31"/>
      <c r="J23" s="32">
        <f>IFERROR(INDEX(DATASET!$I$2:$I$47,MATCH(17,D1_Rank,0)),"")</f>
        <v>-13164</v>
      </c>
    </row>
    <row r="24" ht="18.75" customHeight="1">
      <c r="B24" s="23"/>
      <c r="C24" s="23"/>
      <c r="E24" s="33" t="str">
        <f>IFERROR(INDEX(DATASET!$G$2:$G$47,MATCH(18,D1_Rank,0)),"")</f>
        <v>91510</v>
      </c>
      <c r="F24" s="34" t="str">
        <f>IFERROR(INDEX(DATASET!$H$2:$H$47,MATCH(18,D1_Rank,0)),"")</f>
        <v xml:space="preserve">IRES anticipata</v>
      </c>
      <c r="G24" s="34"/>
      <c r="H24" s="34"/>
      <c r="I24" s="34"/>
      <c r="J24" s="35">
        <f>IFERROR(INDEX(DATASET!$I$2:$I$47,MATCH(18,D1_Rank,0)),"")</f>
        <v>-429</v>
      </c>
    </row>
    <row r="25" ht="18.75" customHeight="1">
      <c r="E25" s="30" t="str">
        <f>IFERROR(INDEX(DATASET!$G$2:$G$47,MATCH(19,D1_Rank,0)),"")</f>
        <v>19764</v>
      </c>
      <c r="F25" s="31" t="str">
        <f>IFERROR(INDEX(DATASET!$H$2:$H$47,MATCH(19,D1_Rank,0)),"")</f>
        <v xml:space="preserve">FERRARI MILANO S.R.L.</v>
      </c>
      <c r="G25" s="31"/>
      <c r="H25" s="31"/>
      <c r="I25" s="31"/>
      <c r="J25" s="32">
        <f>IFERROR(INDEX(DATASET!$I$2:$I$47,MATCH(19,D1_Rank,0)),"")</f>
        <v>19457205.629999999</v>
      </c>
    </row>
    <row r="26" ht="18.75" customHeight="1">
      <c r="E26" s="33" t="str">
        <f>IFERROR(INDEX(DATASET!$G$2:$G$47,MATCH(20,D1_Rank,0)),"")</f>
        <v>19764</v>
      </c>
      <c r="F26" s="34" t="str">
        <f>IFERROR(INDEX(DATASET!$H$2:$H$47,MATCH(20,D1_Rank,0)),"")</f>
        <v xml:space="preserve">FERRARI MILANO S.R.L.</v>
      </c>
      <c r="G26" s="34"/>
      <c r="H26" s="34"/>
      <c r="I26" s="34"/>
      <c r="J26" s="35">
        <f>IFERROR(INDEX(DATASET!$I$2:$I$47,MATCH(20,D1_Rank,0)),"")</f>
        <v>1158000</v>
      </c>
    </row>
    <row r="27" ht="18.75" customHeight="1">
      <c r="E27" s="30" t="str">
        <f>IFERROR(INDEX(DATASET!$G$2:$G$47,MATCH(21,D1_Rank,0)),"")</f>
        <v>19764</v>
      </c>
      <c r="F27" s="31" t="str">
        <f>IFERROR(INDEX(DATASET!$H$2:$H$47,MATCH(21,D1_Rank,0)),"")</f>
        <v xml:space="preserve">FERRARI MILANO S.R.L.</v>
      </c>
      <c r="G27" s="31"/>
      <c r="H27" s="31"/>
      <c r="I27" s="31"/>
      <c r="J27" s="32">
        <f>IFERROR(INDEX(DATASET!$I$2:$I$47,MATCH(21,D1_Rank,0)),"")</f>
        <v>81873.800000000003</v>
      </c>
    </row>
    <row r="28" ht="18.75" customHeight="1">
      <c r="E28" s="33" t="str">
        <f>IFERROR(INDEX(DATASET!$G$2:$G$47,MATCH(22,D1_Rank,0)),"")</f>
        <v>32650</v>
      </c>
      <c r="F28" s="34" t="str">
        <f>IFERROR(INDEX(DATASET!$H$2:$H$47,MATCH(22,D1_Rank,0)),"")</f>
        <v xml:space="preserve">STONE ISLAND S.R.L.</v>
      </c>
      <c r="G28" s="34"/>
      <c r="H28" s="34"/>
      <c r="I28" s="34"/>
      <c r="J28" s="35">
        <f>IFERROR(INDEX(DATASET!$I$2:$I$47,MATCH(22,D1_Rank,0)),"")</f>
        <v>8500</v>
      </c>
    </row>
    <row r="29" ht="18.75" customHeight="1">
      <c r="E29" s="30" t="str">
        <f>IFERROR(INDEX(DATASET!$G$2:$G$47,MATCH(23,D1_Rank,0)),"")</f>
        <v>10030100910</v>
      </c>
      <c r="F29" s="31" t="str">
        <f>IFERROR(INDEX(DATASET!$H$2:$H$47,MATCH(23,D1_Rank,0)),"")</f>
        <v xml:space="preserve">IVA in compensazione entro es. succ.</v>
      </c>
      <c r="G29" s="31"/>
      <c r="H29" s="31"/>
      <c r="I29" s="31"/>
      <c r="J29" s="32">
        <f>IFERROR(INDEX(DATASET!$I$2:$I$47,MATCH(23,D1_Rank,0)),"")</f>
        <v>167</v>
      </c>
    </row>
    <row r="30" ht="18.75" customHeight="1">
      <c r="E30" s="33" t="str">
        <f>IFERROR(INDEX(DATASET!$G$2:$G$47,MATCH(24,D1_Rank,0)),"")</f>
        <v>10030100915</v>
      </c>
      <c r="F30" s="34" t="str">
        <f>IFERROR(INDEX(DATASET!$H$2:$H$47,MATCH(24,D1_Rank,0)),"")</f>
        <v xml:space="preserve">IRPEF/IRES in compensaz. entro es.succ.</v>
      </c>
      <c r="G30" s="34"/>
      <c r="H30" s="34"/>
      <c r="I30" s="34"/>
      <c r="J30" s="35">
        <f>IFERROR(INDEX(DATASET!$I$2:$I$47,MATCH(24,D1_Rank,0)),"")</f>
        <v>60907.199999999997</v>
      </c>
    </row>
    <row r="31" ht="18.75" customHeight="1">
      <c r="E31" s="30" t="str">
        <f>IFERROR(INDEX(DATASET!$G$2:$G$47,MATCH(25,D1_Rank,0)),"")</f>
        <v>100301710</v>
      </c>
      <c r="F31" s="31" t="str">
        <f>IFERROR(INDEX(DATASET!$H$2:$H$47,MATCH(25,D1_Rank,0)),"")</f>
        <v xml:space="preserve">IRES per imposte anticipate</v>
      </c>
      <c r="G31" s="31"/>
      <c r="H31" s="31"/>
      <c r="I31" s="31"/>
      <c r="J31" s="32">
        <f>IFERROR(INDEX(DATASET!$I$2:$I$47,MATCH(25,D1_Rank,0)),"")</f>
        <v>5403.04</v>
      </c>
    </row>
    <row r="32" ht="18.75" customHeight="1">
      <c r="E32" s="33" t="str">
        <f>IFERROR(INDEX(DATASET!$G$2:$G$47,MATCH(26,D1_Rank,0)),"")</f>
        <v>1201015</v>
      </c>
      <c r="F32" s="34" t="str">
        <f>IFERROR(INDEX(DATASET!$H$2:$H$47,MATCH(26,D1_Rank,0)),"")</f>
        <v xml:space="preserve">Banca Popolare di Sondrio</v>
      </c>
      <c r="G32" s="34"/>
      <c r="H32" s="34"/>
      <c r="I32" s="34"/>
      <c r="J32" s="35">
        <f>IFERROR(INDEX(DATASET!$I$2:$I$47,MATCH(26,D1_Rank,0)),"")</f>
        <v>23401.290000000001</v>
      </c>
    </row>
    <row r="33" ht="18.75" customHeight="1">
      <c r="E33" s="30" t="str">
        <f>IFERROR(INDEX(DATASET!$G$2:$G$47,MATCH(27,D1_Rank,0)),"")</f>
        <v>17010</v>
      </c>
      <c r="F33" s="31" t="str">
        <f>IFERROR(INDEX(DATASET!$H$2:$H$47,MATCH(27,D1_Rank,0)),"")</f>
        <v xml:space="preserve">Capitale Sociale</v>
      </c>
      <c r="G33" s="31"/>
      <c r="H33" s="31"/>
      <c r="I33" s="31"/>
      <c r="J33" s="32">
        <f>IFERROR(INDEX(DATASET!$I$2:$I$47,MATCH(27,D1_Rank,0)),"")</f>
        <v>10000</v>
      </c>
    </row>
    <row r="34" ht="18.75" customHeight="1">
      <c r="E34" s="33" t="str">
        <f>IFERROR(INDEX(DATASET!$G$2:$G$47,MATCH(28,D1_Rank,0)),"")</f>
        <v>20010</v>
      </c>
      <c r="F34" s="34" t="str">
        <f>IFERROR(INDEX(DATASET!$H$2:$H$47,MATCH(28,D1_Rank,0)),"")</f>
        <v xml:space="preserve">Riserva legale</v>
      </c>
      <c r="G34" s="34"/>
      <c r="H34" s="34"/>
      <c r="I34" s="34"/>
      <c r="J34" s="35">
        <f>IFERROR(INDEX(DATASET!$I$2:$I$47,MATCH(28,D1_Rank,0)),"")</f>
        <v>2000</v>
      </c>
    </row>
    <row r="35" ht="18.75" customHeight="1">
      <c r="E35" s="30" t="str">
        <f>IFERROR(INDEX(DATASET!$G$2:$G$47,MATCH(29,D1_Rank,0)),"")</f>
        <v>23045</v>
      </c>
      <c r="F35" s="31" t="str">
        <f>IFERROR(INDEX(DATASET!$H$2:$H$47,MATCH(29,D1_Rank,0)),"")</f>
        <v xml:space="preserve">Versamenti dei soci c/ futuro aum.cap.</v>
      </c>
      <c r="G35" s="31"/>
      <c r="H35" s="31"/>
      <c r="I35" s="31"/>
      <c r="J35" s="32">
        <f>IFERROR(INDEX(DATASET!$I$2:$I$47,MATCH(29,D1_Rank,0)),"")</f>
        <v>4600000</v>
      </c>
    </row>
    <row r="36" ht="18.75" customHeight="1">
      <c r="E36" s="33" t="str">
        <f>IFERROR(INDEX(DATASET!$G$2:$G$47,MATCH(30,D1_Rank,0)),"")</f>
        <v>24010</v>
      </c>
      <c r="F36" s="34" t="str">
        <f>IFERROR(INDEX(DATASET!$H$2:$H$47,MATCH(30,D1_Rank,0)),"")</f>
        <v xml:space="preserve">Utili esercizi precedenti</v>
      </c>
      <c r="G36" s="34"/>
      <c r="H36" s="34"/>
      <c r="I36" s="34"/>
      <c r="J36" s="35">
        <f>IFERROR(INDEX(DATASET!$I$2:$I$47,MATCH(30,D1_Rank,0)),"")</f>
        <v>3412465.7799999998</v>
      </c>
    </row>
    <row r="37" ht="18.75" customHeight="1">
      <c r="E37" s="30" t="str">
        <f>IFERROR(INDEX(DATASET!$G$2:$G$47,MATCH(31,D1_Rank,0)),"")</f>
        <v>24015</v>
      </c>
      <c r="F37" s="31" t="str">
        <f>IFERROR(INDEX(DATASET!$H$2:$H$47,MATCH(31,D1_Rank,0)),"")</f>
        <v xml:space="preserve">Perdite esercizi precedenti</v>
      </c>
      <c r="G37" s="31"/>
      <c r="H37" s="31"/>
      <c r="I37" s="31"/>
      <c r="J37" s="32">
        <f>IFERROR(INDEX(DATASET!$I$2:$I$47,MATCH(31,D1_Rank,0)),"")</f>
        <v>-301974.53999999998</v>
      </c>
    </row>
    <row r="38" ht="18.75" customHeight="1">
      <c r="E38" s="33" t="str">
        <f>IFERROR(INDEX(DATASET!$G$2:$G$47,MATCH(32,D1_Rank,0)),"")</f>
        <v>27014</v>
      </c>
      <c r="F38" s="34" t="str">
        <f>IFERROR(INDEX(DATASET!$H$2:$H$47,MATCH(32,D1_Rank,0)),"")</f>
        <v xml:space="preserve">F.do imposte differite IRES</v>
      </c>
      <c r="G38" s="34"/>
      <c r="H38" s="34"/>
      <c r="I38" s="34"/>
      <c r="J38" s="35">
        <f>IFERROR(INDEX(DATASET!$I$2:$I$47,MATCH(32,D1_Rank,0)),"")</f>
        <v>13896</v>
      </c>
    </row>
    <row r="39" ht="18.75" customHeight="1">
      <c r="E39" s="30" t="str">
        <f>IFERROR(INDEX(DATASET!$G$2:$G$47,MATCH(33,D1_Rank,0)),"")</f>
        <v>3701512</v>
      </c>
      <c r="F39" s="31" t="str">
        <f>IFERROR(INDEX(DATASET!$H$2:$H$47,MATCH(33,D1_Rank,0)),"")</f>
        <v xml:space="preserve">Finanziamenti fruttiferi oltre esercizio</v>
      </c>
      <c r="G39" s="31"/>
      <c r="H39" s="31"/>
      <c r="I39" s="31"/>
      <c r="J39" s="32">
        <f>IFERROR(INDEX(DATASET!$I$2:$I$47,MATCH(33,D1_Rank,0)),"")</f>
        <v>1600000</v>
      </c>
    </row>
    <row r="40" ht="18.75" customHeight="1">
      <c r="E40" s="33" t="str">
        <f>IFERROR(INDEX(DATASET!$G$2:$G$47,MATCH(34,D1_Rank,0)),"")</f>
        <v>3701550</v>
      </c>
      <c r="F40" s="34" t="str">
        <f>IFERROR(INDEX(DATASET!$H$2:$H$47,MATCH(34,D1_Rank,0)),"")</f>
        <v xml:space="preserve">Finanz. fruttiferi CB CAPITAL</v>
      </c>
      <c r="G40" s="34"/>
      <c r="H40" s="34"/>
      <c r="I40" s="34"/>
      <c r="J40" s="35">
        <f>IFERROR(INDEX(DATASET!$I$2:$I$47,MATCH(34,D1_Rank,0)),"")</f>
        <v>10000000</v>
      </c>
    </row>
    <row r="41" ht="18.75" customHeight="1">
      <c r="E41" s="30" t="str">
        <f>IFERROR(INDEX(DATASET!$G$2:$G$47,MATCH(35,D1_Rank,0)),"")</f>
        <v>7870</v>
      </c>
      <c r="F41" s="31" t="str">
        <f>IFERROR(INDEX(DATASET!$H$2:$H$47,MATCH(35,D1_Rank,0)),"")</f>
        <v xml:space="preserve">ACME  ITALIA S.P.A.</v>
      </c>
      <c r="G41" s="31"/>
      <c r="H41" s="31"/>
      <c r="I41" s="31"/>
      <c r="J41" s="32">
        <f>IFERROR(INDEX(DATASET!$I$2:$I$47,MATCH(35,D1_Rank,0)),"")</f>
        <v>8780.3400000000001</v>
      </c>
    </row>
    <row r="42" ht="18.75" customHeight="1">
      <c r="E42" s="33" t="str">
        <f>IFERROR(INDEX(DATASET!$G$2:$G$47,MATCH(36,D1_Rank,0)),"")</f>
        <v>7870</v>
      </c>
      <c r="F42" s="34" t="str">
        <f>IFERROR(INDEX(DATASET!$H$2:$H$47,MATCH(36,D1_Rank,0)),"")</f>
        <v xml:space="preserve">ACMEITALIA S.P.A.</v>
      </c>
      <c r="G42" s="34"/>
      <c r="H42" s="34"/>
      <c r="I42" s="34"/>
      <c r="J42" s="35">
        <f>IFERROR(INDEX(DATASET!$I$2:$I$47,MATCH(36,D1_Rank,0)),"")</f>
        <v>10500</v>
      </c>
    </row>
    <row r="43" ht="18.75" customHeight="1">
      <c r="E43" s="30" t="str">
        <f>IFERROR(INDEX(DATASET!$G$2:$G$47,MATCH(37,D1_Rank,0)),"")</f>
        <v>399</v>
      </c>
      <c r="F43" s="31" t="str">
        <f>IFERROR(INDEX(DATASET!$H$2:$H$47,MATCH(37,D1_Rank,0)),"")</f>
        <v xml:space="preserve">Sam Sonic SPA</v>
      </c>
      <c r="G43" s="31"/>
      <c r="H43" s="31"/>
      <c r="I43" s="31"/>
      <c r="J43" s="32">
        <f>IFERROR(INDEX(DATASET!$I$2:$I$47,MATCH(37,D1_Rank,0)),"")</f>
        <v>87776</v>
      </c>
    </row>
    <row r="44" ht="18.75" customHeight="1">
      <c r="E44" s="33" t="str">
        <f>IFERROR(INDEX(DATASET!$G$2:$G$47,MATCH(38,D1_Rank,0)),"")</f>
        <v>1062</v>
      </c>
      <c r="F44" s="34" t="str">
        <f>IFERROR(INDEX(DATASET!$H$2:$H$47,MATCH(38,D1_Rank,0)),"")</f>
        <v>PWC</v>
      </c>
      <c r="G44" s="34"/>
      <c r="H44" s="34"/>
      <c r="I44" s="34"/>
      <c r="J44" s="35">
        <f>IFERROR(INDEX(DATASET!$I$2:$I$47,MATCH(38,D1_Rank,0)),"")</f>
        <v>26561.240000000002</v>
      </c>
    </row>
    <row r="45" ht="18.75" customHeight="1">
      <c r="E45" s="30" t="str">
        <f>IFERROR(INDEX(DATASET!$G$2:$G$47,MATCH(39,D1_Rank,0)),"")</f>
        <v>460101010</v>
      </c>
      <c r="F45" s="31" t="str">
        <f>IFERROR(INDEX(DATASET!$H$2:$H$47,MATCH(39,D1_Rank,0)),"")</f>
        <v xml:space="preserve">Soci/azionisti c.to dividendi</v>
      </c>
      <c r="G45" s="31"/>
      <c r="H45" s="31"/>
      <c r="I45" s="31"/>
      <c r="J45" s="32">
        <f>IFERROR(INDEX(DATASET!$I$2:$I$47,MATCH(39,D1_Rank,0)),"")</f>
        <v>1802500</v>
      </c>
    </row>
    <row r="46" ht="18.75" customHeight="1">
      <c r="E46" s="33" t="str">
        <f>IFERROR(INDEX(DATASET!$G$2:$G$47,MATCH(40,D1_Rank,0)),"")</f>
        <v>460102552</v>
      </c>
      <c r="F46" s="34" t="str">
        <f>IFERROR(INDEX(DATASET!$H$2:$H$47,MATCH(40,D1_Rank,0)),"")</f>
        <v xml:space="preserve">Debiti cons.fiscale Stone srl</v>
      </c>
      <c r="G46" s="34"/>
      <c r="H46" s="34"/>
      <c r="I46" s="34"/>
      <c r="J46" s="35">
        <f>IFERROR(INDEX(DATASET!$I$2:$I$47,MATCH(40,D1_Rank,0)),"")</f>
        <v>1442.2</v>
      </c>
    </row>
    <row r="47" ht="24" customHeight="1">
      <c r="E47" s="40" t="s">
        <v>12</v>
      </c>
      <c r="F47" s="40"/>
      <c r="G47" s="40"/>
      <c r="H47" s="40"/>
      <c r="I47" s="40"/>
      <c r="J47" s="41">
        <f>SUMPRODUCT(D1_Flag*DATASET!$I$2:$I$47)</f>
        <v>41943266.74000001</v>
      </c>
    </row>
    <row r="48">
      <c r="E48" s="24" t="s">
        <v>17</v>
      </c>
      <c r="F48" s="24"/>
      <c r="G48" s="24"/>
      <c r="H48" s="24"/>
      <c r="I48" s="24"/>
      <c r="J48" s="24"/>
    </row>
  </sheetData>
  <mergeCells count="53">
    <mergeCell ref="E48:J48"/>
    <mergeCell ref="F43:I43"/>
    <mergeCell ref="F44:I44"/>
    <mergeCell ref="F45:I45"/>
    <mergeCell ref="F46:I46"/>
    <mergeCell ref="E47:I47"/>
    <mergeCell ref="F38:I38"/>
    <mergeCell ref="F39:I39"/>
    <mergeCell ref="F40:I40"/>
    <mergeCell ref="F41:I41"/>
    <mergeCell ref="F42:I42"/>
    <mergeCell ref="F33:I33"/>
    <mergeCell ref="F34:I34"/>
    <mergeCell ref="F35:I35"/>
    <mergeCell ref="F36:I36"/>
    <mergeCell ref="F37:I37"/>
    <mergeCell ref="F28:I28"/>
    <mergeCell ref="F29:I29"/>
    <mergeCell ref="F30:I30"/>
    <mergeCell ref="F31:I31"/>
    <mergeCell ref="F32:I32"/>
    <mergeCell ref="F23:I23"/>
    <mergeCell ref="F24:I24"/>
    <mergeCell ref="F25:I25"/>
    <mergeCell ref="F26:I26"/>
    <mergeCell ref="F27:I27"/>
    <mergeCell ref="B19:C19"/>
    <mergeCell ref="F19:I19"/>
    <mergeCell ref="F20:I20"/>
    <mergeCell ref="F21:I21"/>
    <mergeCell ref="B22:C22"/>
    <mergeCell ref="F22:I22"/>
    <mergeCell ref="F14:I14"/>
    <mergeCell ref="F15:I15"/>
    <mergeCell ref="F16:I16"/>
    <mergeCell ref="F17:I17"/>
    <mergeCell ref="F18:I18"/>
    <mergeCell ref="F10:I10"/>
    <mergeCell ref="B11:C11"/>
    <mergeCell ref="F11:I11"/>
    <mergeCell ref="F12:I12"/>
    <mergeCell ref="B13:C13"/>
    <mergeCell ref="F13:I13"/>
    <mergeCell ref="B7:C7"/>
    <mergeCell ref="F7:I7"/>
    <mergeCell ref="F8:I8"/>
    <mergeCell ref="B9:C9"/>
    <mergeCell ref="F9:I9"/>
    <mergeCell ref="B2:C2"/>
    <mergeCell ref="E2:J2"/>
    <mergeCell ref="E3:J3"/>
    <mergeCell ref="E4:J4"/>
    <mergeCell ref="F6:I6"/>
  </mergeCells>
  <printOptions headings="0" gridLines="0"/>
  <pageMargins left="0.29999999999999999" right="0.29999999999999999" top="0.40000000000000008" bottom="0.40000000000000008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92F87821-2FF2-4930-A800-7351D288A4C3}" type="list" allowBlank="1" errorStyle="stop" imeMode="noControl" operator="between" showDropDown="0" showErrorMessage="0" showInputMessage="0">
          <x14:formula1>
            <xm:f>MacroOpts</xm:f>
          </x14:formula1>
          <x14:formula2>
            <xm:f>0</xm:f>
          </x14:formula2>
          <xm:sqref>B7</xm:sqref>
        </x14:dataValidation>
        <x14:dataValidation xr:uid="{26ADA474-1AD8-4B48-B402-4B5D8C007F33}" type="list" allowBlank="1" errorStyle="stop" imeMode="noControl" operator="between" showDropDown="0" showErrorMessage="0" showInputMessage="0">
          <x14:formula1>
            <xm:f>D1_SubOpts</xm:f>
          </x14:formula1>
          <x14:formula2>
            <xm:f>0</xm:f>
          </x14:formula2>
          <xm:sqref>B9</xm:sqref>
        </x14:dataValidation>
        <x14:dataValidation xr:uid="{52C5098E-C2A2-414E-8CF4-BB8818D112E5}" type="list" allowBlank="1" errorStyle="stop" imeMode="noControl" operator="between" showDropDown="0" showErrorMessage="0" showInputMessage="0">
          <x14:formula1>
            <xm:f>D1_ItemOpts</xm:f>
          </x14:formula1>
          <x14:formula2>
            <xm:f>0</xm:f>
          </x14:formula2>
          <xm:sqref>B11</xm:sqref>
        </x14:dataValidation>
        <x14:dataValidation xr:uid="{0149CFD1-4AFB-47FC-878D-6F964AA59B1F}" type="list" allowBlank="1" errorStyle="stop" imeMode="noControl" operator="between" showDropDown="0" showErrorMessage="0" showInputMessage="0">
          <x14:formula1>
            <xm:f>D1_SitOpts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0" workbookViewId="0">
      <pane ySplit="11" topLeftCell="A12" activePane="bottomLeft" state="frozen"/>
      <selection activeCell="A1" activeCellId="0" sqref="A1"/>
    </sheetView>
  </sheetViews>
  <sheetFormatPr baseColWidth="10" defaultColWidth="8.6640625" defaultRowHeight="15"/>
  <cols>
    <col customWidth="1" min="1" max="1" width="2.5"/>
    <col customWidth="1" min="2" max="7" width="18"/>
    <col customWidth="1" min="8" max="9" width="16"/>
    <col customWidth="1" min="10" max="10" width="2.5"/>
  </cols>
  <sheetData>
    <row r="2" ht="39.75" customHeight="1">
      <c r="B2" s="42" t="s">
        <v>0</v>
      </c>
      <c r="C2" s="42"/>
      <c r="D2" s="42"/>
      <c r="E2" s="42"/>
      <c r="F2" s="42"/>
      <c r="G2" s="42"/>
      <c r="H2" s="42"/>
      <c r="I2" s="42"/>
    </row>
    <row r="3" ht="19.5" customHeight="1">
      <c r="B3" s="43" t="s">
        <v>18</v>
      </c>
      <c r="C3" s="43"/>
      <c r="D3" s="43"/>
      <c r="E3" s="43"/>
      <c r="F3" s="43"/>
      <c r="G3" s="43"/>
      <c r="H3" s="43"/>
      <c r="I3" s="43"/>
    </row>
    <row r="4" ht="15" customHeight="1">
      <c r="B4" s="44" t="s">
        <v>8</v>
      </c>
      <c r="C4" s="44"/>
      <c r="D4" s="44" t="s">
        <v>7</v>
      </c>
      <c r="E4" s="44"/>
      <c r="F4" s="44" t="s">
        <v>19</v>
      </c>
      <c r="G4" s="44"/>
      <c r="H4" s="44" t="s">
        <v>20</v>
      </c>
      <c r="I4" s="44"/>
    </row>
    <row r="5" ht="25.5" customHeight="1">
      <c r="B5" s="45">
        <f>SUMPRODUCT(D2_Flag*DATASET!$I$2:$I$47)</f>
        <v>41943266.74000001</v>
      </c>
      <c r="C5" s="45"/>
      <c r="D5" s="46">
        <f>SUM(D2_Flag)</f>
        <v>40</v>
      </c>
      <c r="E5" s="46"/>
      <c r="F5" s="45">
        <f>IF(SUM(D2_Flag)=0,"–",MAX(D2_Mask))</f>
        <v>19457205.629999999</v>
      </c>
      <c r="G5" s="45"/>
      <c r="H5" s="45">
        <f>IF(SUM(D2_Flag)=0,"–",MIN(D2_Mask))</f>
        <v>-549776</v>
      </c>
      <c r="I5" s="45"/>
    </row>
    <row r="6" ht="15" customHeight="1">
      <c r="B6" s="45"/>
      <c r="C6" s="45"/>
      <c r="D6" s="46"/>
      <c r="E6" s="46"/>
      <c r="F6" s="45"/>
      <c r="G6" s="45"/>
      <c r="H6" s="45"/>
      <c r="I6" s="45"/>
    </row>
    <row r="8" ht="15" customHeight="1">
      <c r="B8" s="47" t="s">
        <v>2</v>
      </c>
      <c r="D8" s="47" t="s">
        <v>3</v>
      </c>
      <c r="F8" s="47" t="s">
        <v>4</v>
      </c>
      <c r="H8" s="47" t="s">
        <v>5</v>
      </c>
    </row>
    <row r="9" ht="25.5" customHeight="1">
      <c r="B9" s="48"/>
      <c r="C9" s="48"/>
      <c r="D9" s="48"/>
      <c r="E9" s="48"/>
      <c r="F9" s="48"/>
      <c r="G9" s="48"/>
      <c r="H9" s="48"/>
      <c r="I9" s="48"/>
    </row>
    <row r="10" ht="15" customHeight="1">
      <c r="B10" s="25" t="str">
        <f>IF(SUM(D2_Flag)=0,"No matching records for the current filters.","")</f>
        <v/>
      </c>
      <c r="C10" s="25"/>
      <c r="D10" s="25"/>
      <c r="E10" s="25"/>
      <c r="F10" s="25"/>
      <c r="G10" s="25"/>
      <c r="H10" s="25"/>
      <c r="I10" s="25"/>
    </row>
    <row r="12" ht="24" customHeight="1">
      <c r="B12" s="49" t="s">
        <v>9</v>
      </c>
      <c r="C12" s="49" t="s">
        <v>10</v>
      </c>
      <c r="D12" s="49"/>
      <c r="E12" s="49"/>
      <c r="F12" s="49"/>
      <c r="G12" s="49"/>
      <c r="H12" s="50" t="s">
        <v>11</v>
      </c>
      <c r="I12" s="50"/>
    </row>
    <row r="13" ht="18.75" customHeight="1">
      <c r="B13" s="51" t="str">
        <f>IFERROR(INDEX(DATASET!$G$2:$G$47,MATCH(1,D2_Rank,0)),"")</f>
        <v>600151010</v>
      </c>
      <c r="C13" s="52" t="str">
        <f>IFERROR(INDEX(DATASET!$H$2:$H$47,MATCH(1,D2_Rank,0)),"")</f>
        <v xml:space="preserve">Ricavi per prestazioni Italia</v>
      </c>
      <c r="D13" s="52"/>
      <c r="E13" s="52"/>
      <c r="F13" s="52"/>
      <c r="G13" s="52"/>
      <c r="H13" s="53">
        <f>IFERROR(INDEX(DATASET!$I$2:$I$47,MATCH(1,D2_Rank,0)),"")</f>
        <v>110000</v>
      </c>
      <c r="I13" s="53"/>
    </row>
    <row r="14" ht="18.75" customHeight="1">
      <c r="B14" s="54" t="str">
        <f>IFERROR(INDEX(DATASET!$G$2:$G$47,MATCH(2,D2_Rank,0)),"")</f>
        <v>6401215</v>
      </c>
      <c r="C14" s="55" t="str">
        <f>IFERROR(INDEX(DATASET!$H$2:$H$47,MATCH(2,D2_Rank,0)),"")</f>
        <v xml:space="preserve">Abbuoni e arrotondamenti attivi</v>
      </c>
      <c r="D14" s="55"/>
      <c r="E14" s="55"/>
      <c r="F14" s="55"/>
      <c r="G14" s="55"/>
      <c r="H14" s="56">
        <f>IFERROR(INDEX(DATASET!$I$2:$I$47,MATCH(2,D2_Rank,0)),"")</f>
        <v>0.77000000000000002</v>
      </c>
      <c r="I14" s="56"/>
    </row>
    <row r="15" ht="18.75" customHeight="1">
      <c r="B15" s="51" t="str">
        <f>IFERROR(INDEX(DATASET!$G$2:$G$47,MATCH(3,D2_Rank,0)),"")</f>
        <v>6901252</v>
      </c>
      <c r="C15" s="52" t="str">
        <f>IFERROR(INDEX(DATASET!$H$2:$H$47,MATCH(3,D2_Rank,0)),"")</f>
        <v xml:space="preserve">Compenso professionisti</v>
      </c>
      <c r="D15" s="52"/>
      <c r="E15" s="52"/>
      <c r="F15" s="52"/>
      <c r="G15" s="52"/>
      <c r="H15" s="53">
        <f>IFERROR(INDEX(DATASET!$I$2:$I$47,MATCH(3,D2_Rank,0)),"")</f>
        <v>136994.78</v>
      </c>
      <c r="I15" s="53"/>
    </row>
    <row r="16" ht="18.75" customHeight="1">
      <c r="B16" s="54" t="str">
        <f>IFERROR(INDEX(DATASET!$G$2:$G$47,MATCH(4,D2_Rank,0)),"")</f>
        <v>690181015</v>
      </c>
      <c r="C16" s="55" t="str">
        <f>IFERROR(INDEX(DATASET!$H$2:$H$47,MATCH(4,D2_Rank,0)),"")</f>
        <v xml:space="preserve">Consulenze e collaborazioni tecniche</v>
      </c>
      <c r="D16" s="55"/>
      <c r="E16" s="55"/>
      <c r="F16" s="55"/>
      <c r="G16" s="55"/>
      <c r="H16" s="56">
        <f>IFERROR(INDEX(DATASET!$I$2:$I$47,MATCH(4,D2_Rank,0)),"")</f>
        <v>5367.0200000000004</v>
      </c>
      <c r="I16" s="56"/>
    </row>
    <row r="17" ht="18.75" customHeight="1">
      <c r="B17" s="51" t="str">
        <f>IFERROR(INDEX(DATASET!$G$2:$G$47,MATCH(5,D2_Rank,0)),"")</f>
        <v>690182015</v>
      </c>
      <c r="C17" s="52" t="str">
        <f>IFERROR(INDEX(DATASET!$H$2:$H$47,MATCH(5,D2_Rank,0)),"")</f>
        <v xml:space="preserve">Prestazioni notarili</v>
      </c>
      <c r="D17" s="52"/>
      <c r="E17" s="52"/>
      <c r="F17" s="52"/>
      <c r="G17" s="52"/>
      <c r="H17" s="53">
        <f>IFERROR(INDEX(DATASET!$I$2:$I$47,MATCH(5,D2_Rank,0)),"")</f>
        <v>153.75</v>
      </c>
      <c r="I17" s="53"/>
    </row>
    <row r="18" ht="18.75" customHeight="1">
      <c r="B18" s="54" t="str">
        <f>IFERROR(INDEX(DATASET!$G$2:$G$47,MATCH(6,D2_Rank,0)),"")</f>
        <v>690182025</v>
      </c>
      <c r="C18" s="55" t="str">
        <f>IFERROR(INDEX(DATASET!$H$2:$H$47,MATCH(6,D2_Rank,0)),"")</f>
        <v xml:space="preserve">Consulenza fiscale e societaria</v>
      </c>
      <c r="D18" s="55"/>
      <c r="E18" s="55"/>
      <c r="F18" s="55"/>
      <c r="G18" s="55"/>
      <c r="H18" s="56">
        <f>IFERROR(INDEX(DATASET!$I$2:$I$47,MATCH(6,D2_Rank,0)),"")</f>
        <v>24023.639999999999</v>
      </c>
      <c r="I18" s="56"/>
    </row>
    <row r="19" ht="18.75" customHeight="1">
      <c r="B19" s="51" t="str">
        <f>IFERROR(INDEX(DATASET!$G$2:$G$47,MATCH(7,D2_Rank,0)),"")</f>
        <v>690182520</v>
      </c>
      <c r="C19" s="52" t="str">
        <f>IFERROR(INDEX(DATASET!$H$2:$H$47,MATCH(7,D2_Rank,0)),"")</f>
        <v xml:space="preserve">Spese e servizi bancari (non finanziari)</v>
      </c>
      <c r="D19" s="52"/>
      <c r="E19" s="52"/>
      <c r="F19" s="52"/>
      <c r="G19" s="52"/>
      <c r="H19" s="53">
        <f>IFERROR(INDEX(DATASET!$I$2:$I$47,MATCH(7,D2_Rank,0)),"")</f>
        <v>184.25</v>
      </c>
      <c r="I19" s="53"/>
    </row>
    <row r="20" ht="18.75" customHeight="1">
      <c r="B20" s="54" t="str">
        <f>IFERROR(INDEX(DATASET!$G$2:$G$47,MATCH(8,D2_Rank,0)),"")</f>
        <v>690242520</v>
      </c>
      <c r="C20" s="55" t="str">
        <f>IFERROR(INDEX(DATASET!$H$2:$H$47,MATCH(8,D2_Rank,0)),"")</f>
        <v xml:space="preserve">Emolumenti collegio sindacale ded. IRAP</v>
      </c>
      <c r="D20" s="55"/>
      <c r="E20" s="55"/>
      <c r="F20" s="55"/>
      <c r="G20" s="55"/>
      <c r="H20" s="56">
        <f>IFERROR(INDEX(DATASET!$I$2:$I$47,MATCH(8,D2_Rank,0)),"")</f>
        <v>2537.5999999999999</v>
      </c>
      <c r="I20" s="56"/>
    </row>
    <row r="21" ht="18.75" customHeight="1">
      <c r="B21" s="51" t="str">
        <f>IFERROR(INDEX(DATASET!$G$2:$G$47,MATCH(9,D2_Rank,0)),"")</f>
        <v>690243010</v>
      </c>
      <c r="C21" s="52" t="str">
        <f>IFERROR(INDEX(DATASET!$H$2:$H$47,MATCH(9,D2_Rank,0)),"")</f>
        <v xml:space="preserve">Compensi revisione contabile</v>
      </c>
      <c r="D21" s="52"/>
      <c r="E21" s="52"/>
      <c r="F21" s="52"/>
      <c r="G21" s="52"/>
      <c r="H21" s="53">
        <f>IFERROR(INDEX(DATASET!$I$2:$I$47,MATCH(9,D2_Rank,0)),"")</f>
        <v>19975.900000000001</v>
      </c>
      <c r="I21" s="53"/>
    </row>
    <row r="22" ht="18.75" customHeight="1">
      <c r="B22" s="54" t="str">
        <f>IFERROR(INDEX(DATASET!$G$2:$G$47,MATCH(10,D2_Rank,0)),"")</f>
        <v>760101510</v>
      </c>
      <c r="C22" s="55" t="str">
        <f>IFERROR(INDEX(DATASET!$H$2:$H$47,MATCH(10,D2_Rank,0)),"")</f>
        <v xml:space="preserve">Imposta di bollo</v>
      </c>
      <c r="D22" s="55"/>
      <c r="E22" s="55"/>
      <c r="F22" s="55"/>
      <c r="G22" s="55"/>
      <c r="H22" s="56">
        <f>IFERROR(INDEX(DATASET!$I$2:$I$47,MATCH(10,D2_Rank,0)),"")</f>
        <v>100</v>
      </c>
      <c r="I22" s="56"/>
    </row>
    <row r="23" ht="18.75" customHeight="1">
      <c r="B23" s="51" t="str">
        <f>IFERROR(INDEX(DATASET!$G$2:$G$47,MATCH(11,D2_Rank,0)),"")</f>
        <v>760102015</v>
      </c>
      <c r="C23" s="52" t="str">
        <f>IFERROR(INDEX(DATASET!$H$2:$H$47,MATCH(11,D2_Rank,0)),"")</f>
        <v xml:space="preserve">Tassa annuale libri sociali</v>
      </c>
      <c r="D23" s="52"/>
      <c r="E23" s="52"/>
      <c r="F23" s="52"/>
      <c r="G23" s="52"/>
      <c r="H23" s="53">
        <f>IFERROR(INDEX(DATASET!$I$2:$I$47,MATCH(11,D2_Rank,0)),"")</f>
        <v>309.87</v>
      </c>
      <c r="I23" s="53"/>
    </row>
    <row r="24" ht="18.75" customHeight="1">
      <c r="B24" s="54" t="str">
        <f>IFERROR(INDEX(DATASET!$G$2:$G$47,MATCH(12,D2_Rank,0)),"")</f>
        <v>76020015</v>
      </c>
      <c r="C24" s="55" t="str">
        <f>IFERROR(INDEX(DATASET!$H$2:$H$47,MATCH(12,D2_Rank,0)),"")</f>
        <v xml:space="preserve">Spese camerali, catastali e diritti vari</v>
      </c>
      <c r="D24" s="55"/>
      <c r="E24" s="55"/>
      <c r="F24" s="55"/>
      <c r="G24" s="55"/>
      <c r="H24" s="56">
        <f>IFERROR(INDEX(DATASET!$I$2:$I$47,MATCH(12,D2_Rank,0)),"")</f>
        <v>121</v>
      </c>
      <c r="I24" s="56"/>
    </row>
    <row r="25" ht="18.75" customHeight="1">
      <c r="B25" s="51" t="str">
        <f>IFERROR(INDEX(DATASET!$G$2:$G$47,MATCH(13,D2_Rank,0)),"")</f>
        <v>76020040</v>
      </c>
      <c r="C25" s="52" t="str">
        <f>IFERROR(INDEX(DATASET!$H$2:$H$47,MATCH(13,D2_Rank,0)),"")</f>
        <v xml:space="preserve">Abbuoni e arr.pass.non compr.nei ricavi</v>
      </c>
      <c r="D25" s="52"/>
      <c r="E25" s="52"/>
      <c r="F25" s="52"/>
      <c r="G25" s="52"/>
      <c r="H25" s="53">
        <f>IFERROR(INDEX(DATASET!$I$2:$I$47,MATCH(13,D2_Rank,0)),"")</f>
        <v>0.59999999999999998</v>
      </c>
      <c r="I25" s="53"/>
    </row>
    <row r="26" ht="18.75" customHeight="1">
      <c r="B26" s="54" t="str">
        <f>IFERROR(INDEX(DATASET!$G$2:$G$47,MATCH(14,D2_Rank,0)),"")</f>
        <v>90050</v>
      </c>
      <c r="C26" s="55" t="str">
        <f>IFERROR(INDEX(DATASET!$H$2:$H$47,MATCH(14,D2_Rank,0)),"")</f>
        <v xml:space="preserve">Proventi da consolidato</v>
      </c>
      <c r="D26" s="55"/>
      <c r="E26" s="55"/>
      <c r="F26" s="55"/>
      <c r="G26" s="55"/>
      <c r="H26" s="56">
        <f>IFERROR(INDEX(DATASET!$I$2:$I$47,MATCH(14,D2_Rank,0)),"")</f>
        <v>137497</v>
      </c>
      <c r="I26" s="56"/>
    </row>
    <row r="27" ht="18.75" customHeight="1">
      <c r="B27" s="51" t="str">
        <f>IFERROR(INDEX(DATASET!$G$2:$G$47,MATCH(15,D2_Rank,0)),"")</f>
        <v>85015020</v>
      </c>
      <c r="C27" s="52" t="str">
        <f>IFERROR(INDEX(DATASET!$H$2:$H$47,MATCH(15,D2_Rank,0)),"")</f>
        <v xml:space="preserve">Interessi su debiti verso altri</v>
      </c>
      <c r="D27" s="52"/>
      <c r="E27" s="52"/>
      <c r="F27" s="52"/>
      <c r="G27" s="52"/>
      <c r="H27" s="53">
        <f>IFERROR(INDEX(DATASET!$I$2:$I$47,MATCH(15,D2_Rank,0)),"")</f>
        <v>-549776</v>
      </c>
      <c r="I27" s="53"/>
    </row>
    <row r="28" ht="18.75" customHeight="1">
      <c r="B28" s="54" t="str">
        <f>IFERROR(INDEX(DATASET!$G$2:$G$47,MATCH(16,D2_Rank,0)),"")</f>
        <v>85015050</v>
      </c>
      <c r="C28" s="55" t="str">
        <f>IFERROR(INDEX(DATASET!$H$2:$H$47,MATCH(16,D2_Rank,0)),"")</f>
        <v xml:space="preserve">Interessi indeducibili IVA trimestrale</v>
      </c>
      <c r="D28" s="55"/>
      <c r="E28" s="55"/>
      <c r="F28" s="55"/>
      <c r="G28" s="55"/>
      <c r="H28" s="56">
        <f>IFERROR(INDEX(DATASET!$I$2:$I$47,MATCH(16,D2_Rank,0)),"")</f>
        <v>-35.420000000000002</v>
      </c>
      <c r="I28" s="56"/>
    </row>
    <row r="29" ht="18.75" customHeight="1">
      <c r="B29" s="51" t="str">
        <f>IFERROR(INDEX(DATASET!$G$2:$G$47,MATCH(17,D2_Rank,0)),"")</f>
        <v>91010</v>
      </c>
      <c r="C29" s="52" t="str">
        <f>IFERROR(INDEX(DATASET!$H$2:$H$47,MATCH(17,D2_Rank,0)),"")</f>
        <v xml:space="preserve">IRES differita</v>
      </c>
      <c r="D29" s="52"/>
      <c r="E29" s="52"/>
      <c r="F29" s="52"/>
      <c r="G29" s="52"/>
      <c r="H29" s="53">
        <f>IFERROR(INDEX(DATASET!$I$2:$I$47,MATCH(17,D2_Rank,0)),"")</f>
        <v>-13164</v>
      </c>
      <c r="I29" s="53"/>
    </row>
    <row r="30" ht="18.75" customHeight="1">
      <c r="B30" s="54" t="str">
        <f>IFERROR(INDEX(DATASET!$G$2:$G$47,MATCH(18,D2_Rank,0)),"")</f>
        <v>91510</v>
      </c>
      <c r="C30" s="55" t="str">
        <f>IFERROR(INDEX(DATASET!$H$2:$H$47,MATCH(18,D2_Rank,0)),"")</f>
        <v xml:space="preserve">IRES anticipata</v>
      </c>
      <c r="D30" s="55"/>
      <c r="E30" s="55"/>
      <c r="F30" s="55"/>
      <c r="G30" s="55"/>
      <c r="H30" s="56">
        <f>IFERROR(INDEX(DATASET!$I$2:$I$47,MATCH(18,D2_Rank,0)),"")</f>
        <v>-429</v>
      </c>
      <c r="I30" s="56"/>
    </row>
    <row r="31" ht="18.75" customHeight="1">
      <c r="B31" s="51" t="str">
        <f>IFERROR(INDEX(DATASET!$G$2:$G$47,MATCH(19,D2_Rank,0)),"")</f>
        <v>19764</v>
      </c>
      <c r="C31" s="52" t="str">
        <f>IFERROR(INDEX(DATASET!$H$2:$H$47,MATCH(19,D2_Rank,0)),"")</f>
        <v xml:space="preserve">FERRARI MILANO S.R.L.</v>
      </c>
      <c r="D31" s="52"/>
      <c r="E31" s="52"/>
      <c r="F31" s="52"/>
      <c r="G31" s="52"/>
      <c r="H31" s="53">
        <f>IFERROR(INDEX(DATASET!$I$2:$I$47,MATCH(19,D2_Rank,0)),"")</f>
        <v>19457205.629999999</v>
      </c>
      <c r="I31" s="53"/>
    </row>
    <row r="32" ht="18.75" customHeight="1">
      <c r="B32" s="54" t="str">
        <f>IFERROR(INDEX(DATASET!$G$2:$G$47,MATCH(20,D2_Rank,0)),"")</f>
        <v>19764</v>
      </c>
      <c r="C32" s="55" t="str">
        <f>IFERROR(INDEX(DATASET!$H$2:$H$47,MATCH(20,D2_Rank,0)),"")</f>
        <v xml:space="preserve">FERRARI MILANO S.R.L.</v>
      </c>
      <c r="D32" s="55"/>
      <c r="E32" s="55"/>
      <c r="F32" s="55"/>
      <c r="G32" s="55"/>
      <c r="H32" s="56">
        <f>IFERROR(INDEX(DATASET!$I$2:$I$47,MATCH(20,D2_Rank,0)),"")</f>
        <v>1158000</v>
      </c>
      <c r="I32" s="56"/>
    </row>
    <row r="33" ht="18.75" customHeight="1">
      <c r="B33" s="51" t="str">
        <f>IFERROR(INDEX(DATASET!$G$2:$G$47,MATCH(21,D2_Rank,0)),"")</f>
        <v>19764</v>
      </c>
      <c r="C33" s="52" t="str">
        <f>IFERROR(INDEX(DATASET!$H$2:$H$47,MATCH(21,D2_Rank,0)),"")</f>
        <v xml:space="preserve">FERRARI MILANO S.R.L.</v>
      </c>
      <c r="D33" s="52"/>
      <c r="E33" s="52"/>
      <c r="F33" s="52"/>
      <c r="G33" s="52"/>
      <c r="H33" s="53">
        <f>IFERROR(INDEX(DATASET!$I$2:$I$47,MATCH(21,D2_Rank,0)),"")</f>
        <v>81873.800000000003</v>
      </c>
      <c r="I33" s="53"/>
    </row>
    <row r="34" ht="18.75" customHeight="1">
      <c r="B34" s="54" t="str">
        <f>IFERROR(INDEX(DATASET!$G$2:$G$47,MATCH(22,D2_Rank,0)),"")</f>
        <v>32650</v>
      </c>
      <c r="C34" s="55" t="str">
        <f>IFERROR(INDEX(DATASET!$H$2:$H$47,MATCH(22,D2_Rank,0)),"")</f>
        <v xml:space="preserve">STONE ISLAND S.R.L.</v>
      </c>
      <c r="D34" s="55"/>
      <c r="E34" s="55"/>
      <c r="F34" s="55"/>
      <c r="G34" s="55"/>
      <c r="H34" s="56">
        <f>IFERROR(INDEX(DATASET!$I$2:$I$47,MATCH(22,D2_Rank,0)),"")</f>
        <v>8500</v>
      </c>
      <c r="I34" s="56"/>
    </row>
    <row r="35" ht="18.75" customHeight="1">
      <c r="B35" s="51" t="str">
        <f>IFERROR(INDEX(DATASET!$G$2:$G$47,MATCH(23,D2_Rank,0)),"")</f>
        <v>10030100910</v>
      </c>
      <c r="C35" s="52" t="str">
        <f>IFERROR(INDEX(DATASET!$H$2:$H$47,MATCH(23,D2_Rank,0)),"")</f>
        <v xml:space="preserve">IVA in compensazione entro es. succ.</v>
      </c>
      <c r="D35" s="52"/>
      <c r="E35" s="52"/>
      <c r="F35" s="52"/>
      <c r="G35" s="52"/>
      <c r="H35" s="53">
        <f>IFERROR(INDEX(DATASET!$I$2:$I$47,MATCH(23,D2_Rank,0)),"")</f>
        <v>167</v>
      </c>
      <c r="I35" s="53"/>
    </row>
    <row r="36" ht="18.75" customHeight="1">
      <c r="B36" s="54" t="str">
        <f>IFERROR(INDEX(DATASET!$G$2:$G$47,MATCH(24,D2_Rank,0)),"")</f>
        <v>10030100915</v>
      </c>
      <c r="C36" s="55" t="str">
        <f>IFERROR(INDEX(DATASET!$H$2:$H$47,MATCH(24,D2_Rank,0)),"")</f>
        <v xml:space="preserve">IRPEF/IRES in compensaz. entro es.succ.</v>
      </c>
      <c r="D36" s="55"/>
      <c r="E36" s="55"/>
      <c r="F36" s="55"/>
      <c r="G36" s="55"/>
      <c r="H36" s="56">
        <f>IFERROR(INDEX(DATASET!$I$2:$I$47,MATCH(24,D2_Rank,0)),"")</f>
        <v>60907.199999999997</v>
      </c>
      <c r="I36" s="56"/>
    </row>
    <row r="37" ht="18.75" customHeight="1">
      <c r="B37" s="51" t="str">
        <f>IFERROR(INDEX(DATASET!$G$2:$G$47,MATCH(25,D2_Rank,0)),"")</f>
        <v>100301710</v>
      </c>
      <c r="C37" s="52" t="str">
        <f>IFERROR(INDEX(DATASET!$H$2:$H$47,MATCH(25,D2_Rank,0)),"")</f>
        <v xml:space="preserve">IRES per imposte anticipate</v>
      </c>
      <c r="D37" s="52"/>
      <c r="E37" s="52"/>
      <c r="F37" s="52"/>
      <c r="G37" s="52"/>
      <c r="H37" s="53">
        <f>IFERROR(INDEX(DATASET!$I$2:$I$47,MATCH(25,D2_Rank,0)),"")</f>
        <v>5403.04</v>
      </c>
      <c r="I37" s="53"/>
    </row>
    <row r="38" ht="18.75" customHeight="1">
      <c r="B38" s="54" t="str">
        <f>IFERROR(INDEX(DATASET!$G$2:$G$47,MATCH(26,D2_Rank,0)),"")</f>
        <v>1201015</v>
      </c>
      <c r="C38" s="55" t="str">
        <f>IFERROR(INDEX(DATASET!$H$2:$H$47,MATCH(26,D2_Rank,0)),"")</f>
        <v xml:space="preserve">Banca Popolare di Sondrio</v>
      </c>
      <c r="D38" s="55"/>
      <c r="E38" s="55"/>
      <c r="F38" s="55"/>
      <c r="G38" s="55"/>
      <c r="H38" s="56">
        <f>IFERROR(INDEX(DATASET!$I$2:$I$47,MATCH(26,D2_Rank,0)),"")</f>
        <v>23401.290000000001</v>
      </c>
      <c r="I38" s="56"/>
    </row>
    <row r="39" ht="18.75" customHeight="1">
      <c r="B39" s="51" t="str">
        <f>IFERROR(INDEX(DATASET!$G$2:$G$47,MATCH(27,D2_Rank,0)),"")</f>
        <v>17010</v>
      </c>
      <c r="C39" s="52" t="str">
        <f>IFERROR(INDEX(DATASET!$H$2:$H$47,MATCH(27,D2_Rank,0)),"")</f>
        <v xml:space="preserve">Capitale Sociale</v>
      </c>
      <c r="D39" s="52"/>
      <c r="E39" s="52"/>
      <c r="F39" s="52"/>
      <c r="G39" s="52"/>
      <c r="H39" s="53">
        <f>IFERROR(INDEX(DATASET!$I$2:$I$47,MATCH(27,D2_Rank,0)),"")</f>
        <v>10000</v>
      </c>
      <c r="I39" s="53"/>
    </row>
    <row r="40" ht="18.75" customHeight="1">
      <c r="B40" s="54" t="str">
        <f>IFERROR(INDEX(DATASET!$G$2:$G$47,MATCH(28,D2_Rank,0)),"")</f>
        <v>20010</v>
      </c>
      <c r="C40" s="55" t="str">
        <f>IFERROR(INDEX(DATASET!$H$2:$H$47,MATCH(28,D2_Rank,0)),"")</f>
        <v xml:space="preserve">Riserva legale</v>
      </c>
      <c r="D40" s="55"/>
      <c r="E40" s="55"/>
      <c r="F40" s="55"/>
      <c r="G40" s="55"/>
      <c r="H40" s="56">
        <f>IFERROR(INDEX(DATASET!$I$2:$I$47,MATCH(28,D2_Rank,0)),"")</f>
        <v>2000</v>
      </c>
      <c r="I40" s="56"/>
    </row>
    <row r="41" ht="18.75" customHeight="1">
      <c r="B41" s="51" t="str">
        <f>IFERROR(INDEX(DATASET!$G$2:$G$47,MATCH(29,D2_Rank,0)),"")</f>
        <v>23045</v>
      </c>
      <c r="C41" s="52" t="str">
        <f>IFERROR(INDEX(DATASET!$H$2:$H$47,MATCH(29,D2_Rank,0)),"")</f>
        <v xml:space="preserve">Versamenti dei soci c/ futuro aum.cap.</v>
      </c>
      <c r="D41" s="52"/>
      <c r="E41" s="52"/>
      <c r="F41" s="52"/>
      <c r="G41" s="52"/>
      <c r="H41" s="53">
        <f>IFERROR(INDEX(DATASET!$I$2:$I$47,MATCH(29,D2_Rank,0)),"")</f>
        <v>4600000</v>
      </c>
      <c r="I41" s="53"/>
    </row>
    <row r="42" ht="18.75" customHeight="1">
      <c r="B42" s="54" t="str">
        <f>IFERROR(INDEX(DATASET!$G$2:$G$47,MATCH(30,D2_Rank,0)),"")</f>
        <v>24010</v>
      </c>
      <c r="C42" s="55" t="str">
        <f>IFERROR(INDEX(DATASET!$H$2:$H$47,MATCH(30,D2_Rank,0)),"")</f>
        <v xml:space="preserve">Utili esercizi precedenti</v>
      </c>
      <c r="D42" s="55"/>
      <c r="E42" s="55"/>
      <c r="F42" s="55"/>
      <c r="G42" s="55"/>
      <c r="H42" s="56">
        <f>IFERROR(INDEX(DATASET!$I$2:$I$47,MATCH(30,D2_Rank,0)),"")</f>
        <v>3412465.7799999998</v>
      </c>
      <c r="I42" s="56"/>
    </row>
    <row r="43" ht="18.75" customHeight="1">
      <c r="B43" s="51" t="str">
        <f>IFERROR(INDEX(DATASET!$G$2:$G$47,MATCH(31,D2_Rank,0)),"")</f>
        <v>24015</v>
      </c>
      <c r="C43" s="52" t="str">
        <f>IFERROR(INDEX(DATASET!$H$2:$H$47,MATCH(31,D2_Rank,0)),"")</f>
        <v xml:space="preserve">Perdite esercizi precedenti</v>
      </c>
      <c r="D43" s="52"/>
      <c r="E43" s="52"/>
      <c r="F43" s="52"/>
      <c r="G43" s="52"/>
      <c r="H43" s="53">
        <f>IFERROR(INDEX(DATASET!$I$2:$I$47,MATCH(31,D2_Rank,0)),"")</f>
        <v>-301974.53999999998</v>
      </c>
      <c r="I43" s="53"/>
    </row>
    <row r="44" ht="18.75" customHeight="1">
      <c r="B44" s="54" t="str">
        <f>IFERROR(INDEX(DATASET!$G$2:$G$47,MATCH(32,D2_Rank,0)),"")</f>
        <v>27014</v>
      </c>
      <c r="C44" s="55" t="str">
        <f>IFERROR(INDEX(DATASET!$H$2:$H$47,MATCH(32,D2_Rank,0)),"")</f>
        <v xml:space="preserve">F.do imposte differite IRES</v>
      </c>
      <c r="D44" s="55"/>
      <c r="E44" s="55"/>
      <c r="F44" s="55"/>
      <c r="G44" s="55"/>
      <c r="H44" s="56">
        <f>IFERROR(INDEX(DATASET!$I$2:$I$47,MATCH(32,D2_Rank,0)),"")</f>
        <v>13896</v>
      </c>
      <c r="I44" s="56"/>
    </row>
    <row r="45" ht="18.75" customHeight="1">
      <c r="B45" s="51" t="str">
        <f>IFERROR(INDEX(DATASET!$G$2:$G$47,MATCH(33,D2_Rank,0)),"")</f>
        <v>3701512</v>
      </c>
      <c r="C45" s="52" t="str">
        <f>IFERROR(INDEX(DATASET!$H$2:$H$47,MATCH(33,D2_Rank,0)),"")</f>
        <v xml:space="preserve">Finanziamenti fruttiferi oltre esercizio</v>
      </c>
      <c r="D45" s="52"/>
      <c r="E45" s="52"/>
      <c r="F45" s="52"/>
      <c r="G45" s="52"/>
      <c r="H45" s="53">
        <f>IFERROR(INDEX(DATASET!$I$2:$I$47,MATCH(33,D2_Rank,0)),"")</f>
        <v>1600000</v>
      </c>
      <c r="I45" s="53"/>
    </row>
    <row r="46" ht="18.75" customHeight="1">
      <c r="B46" s="54" t="str">
        <f>IFERROR(INDEX(DATASET!$G$2:$G$47,MATCH(34,D2_Rank,0)),"")</f>
        <v>3701550</v>
      </c>
      <c r="C46" s="55" t="str">
        <f>IFERROR(INDEX(DATASET!$H$2:$H$47,MATCH(34,D2_Rank,0)),"")</f>
        <v xml:space="preserve">Finanz. fruttiferi CB CAPITAL</v>
      </c>
      <c r="D46" s="55"/>
      <c r="E46" s="55"/>
      <c r="F46" s="55"/>
      <c r="G46" s="55"/>
      <c r="H46" s="56">
        <f>IFERROR(INDEX(DATASET!$I$2:$I$47,MATCH(34,D2_Rank,0)),"")</f>
        <v>10000000</v>
      </c>
      <c r="I46" s="56"/>
    </row>
    <row r="47" ht="18.75" customHeight="1">
      <c r="B47" s="51" t="str">
        <f>IFERROR(INDEX(DATASET!$G$2:$G$47,MATCH(35,D2_Rank,0)),"")</f>
        <v>7870</v>
      </c>
      <c r="C47" s="52" t="str">
        <f>IFERROR(INDEX(DATASET!$H$2:$H$47,MATCH(35,D2_Rank,0)),"")</f>
        <v xml:space="preserve">ACME  ITALIA S.P.A.</v>
      </c>
      <c r="D47" s="52"/>
      <c r="E47" s="52"/>
      <c r="F47" s="52"/>
      <c r="G47" s="52"/>
      <c r="H47" s="53">
        <f>IFERROR(INDEX(DATASET!$I$2:$I$47,MATCH(35,D2_Rank,0)),"")</f>
        <v>8780.3400000000001</v>
      </c>
      <c r="I47" s="53"/>
    </row>
    <row r="48" ht="18.75" customHeight="1">
      <c r="B48" s="54" t="str">
        <f>IFERROR(INDEX(DATASET!$G$2:$G$47,MATCH(36,D2_Rank,0)),"")</f>
        <v>7870</v>
      </c>
      <c r="C48" s="55" t="str">
        <f>IFERROR(INDEX(DATASET!$H$2:$H$47,MATCH(36,D2_Rank,0)),"")</f>
        <v xml:space="preserve">ACMEITALIA S.P.A.</v>
      </c>
      <c r="D48" s="55"/>
      <c r="E48" s="55"/>
      <c r="F48" s="55"/>
      <c r="G48" s="55"/>
      <c r="H48" s="56">
        <f>IFERROR(INDEX(DATASET!$I$2:$I$47,MATCH(36,D2_Rank,0)),"")</f>
        <v>10500</v>
      </c>
      <c r="I48" s="56"/>
    </row>
    <row r="49" ht="18.75" customHeight="1">
      <c r="B49" s="51" t="str">
        <f>IFERROR(INDEX(DATASET!$G$2:$G$47,MATCH(37,D2_Rank,0)),"")</f>
        <v>399</v>
      </c>
      <c r="C49" s="52" t="str">
        <f>IFERROR(INDEX(DATASET!$H$2:$H$47,MATCH(37,D2_Rank,0)),"")</f>
        <v xml:space="preserve">Sam Sonic SPA</v>
      </c>
      <c r="D49" s="52"/>
      <c r="E49" s="52"/>
      <c r="F49" s="52"/>
      <c r="G49" s="52"/>
      <c r="H49" s="53">
        <f>IFERROR(INDEX(DATASET!$I$2:$I$47,MATCH(37,D2_Rank,0)),"")</f>
        <v>87776</v>
      </c>
      <c r="I49" s="53"/>
    </row>
    <row r="50" ht="18.75" customHeight="1">
      <c r="B50" s="54" t="str">
        <f>IFERROR(INDEX(DATASET!$G$2:$G$47,MATCH(38,D2_Rank,0)),"")</f>
        <v>1062</v>
      </c>
      <c r="C50" s="55" t="str">
        <f>IFERROR(INDEX(DATASET!$H$2:$H$47,MATCH(38,D2_Rank,0)),"")</f>
        <v>PWC</v>
      </c>
      <c r="D50" s="55"/>
      <c r="E50" s="55"/>
      <c r="F50" s="55"/>
      <c r="G50" s="55"/>
      <c r="H50" s="56">
        <f>IFERROR(INDEX(DATASET!$I$2:$I$47,MATCH(38,D2_Rank,0)),"")</f>
        <v>26561.240000000002</v>
      </c>
      <c r="I50" s="56"/>
    </row>
    <row r="51" ht="18.75" customHeight="1">
      <c r="B51" s="51" t="str">
        <f>IFERROR(INDEX(DATASET!$G$2:$G$47,MATCH(39,D2_Rank,0)),"")</f>
        <v>460101010</v>
      </c>
      <c r="C51" s="52" t="str">
        <f>IFERROR(INDEX(DATASET!$H$2:$H$47,MATCH(39,D2_Rank,0)),"")</f>
        <v xml:space="preserve">Soci/azionisti c.to dividendi</v>
      </c>
      <c r="D51" s="52"/>
      <c r="E51" s="52"/>
      <c r="F51" s="52"/>
      <c r="G51" s="52"/>
      <c r="H51" s="53">
        <f>IFERROR(INDEX(DATASET!$I$2:$I$47,MATCH(39,D2_Rank,0)),"")</f>
        <v>1802500</v>
      </c>
      <c r="I51" s="53"/>
    </row>
    <row r="52" ht="18.75" customHeight="1">
      <c r="B52" s="54" t="str">
        <f>IFERROR(INDEX(DATASET!$G$2:$G$47,MATCH(40,D2_Rank,0)),"")</f>
        <v>460102552</v>
      </c>
      <c r="C52" s="55" t="str">
        <f>IFERROR(INDEX(DATASET!$H$2:$H$47,MATCH(40,D2_Rank,0)),"")</f>
        <v xml:space="preserve">Debiti cons.fiscale Stone srl</v>
      </c>
      <c r="D52" s="55"/>
      <c r="E52" s="55"/>
      <c r="F52" s="55"/>
      <c r="G52" s="55"/>
      <c r="H52" s="56">
        <f>IFERROR(INDEX(DATASET!$I$2:$I$47,MATCH(40,D2_Rank,0)),"")</f>
        <v>1442.2</v>
      </c>
      <c r="I52" s="56"/>
    </row>
    <row r="53" ht="24" customHeight="1">
      <c r="B53" s="57" t="s">
        <v>12</v>
      </c>
      <c r="C53" s="57"/>
      <c r="D53" s="57"/>
      <c r="E53" s="57"/>
      <c r="F53" s="57"/>
      <c r="G53" s="57"/>
      <c r="H53" s="58">
        <f>SUMPRODUCT(D2_Flag*DATASET!$I$2:$I$47)</f>
        <v>41943266.74000001</v>
      </c>
      <c r="I53" s="58"/>
    </row>
    <row r="55">
      <c r="B55" s="43" t="s">
        <v>21</v>
      </c>
      <c r="C55" s="43"/>
      <c r="D55" s="43"/>
      <c r="E55" s="43"/>
      <c r="F55" s="43"/>
      <c r="G55" s="43"/>
      <c r="H55" s="43"/>
    </row>
  </sheetData>
  <mergeCells count="100">
    <mergeCell ref="B53:G53"/>
    <mergeCell ref="H53:I53"/>
    <mergeCell ref="B55:H55"/>
    <mergeCell ref="C50:G50"/>
    <mergeCell ref="H50:I50"/>
    <mergeCell ref="C51:G51"/>
    <mergeCell ref="H51:I51"/>
    <mergeCell ref="C52:G52"/>
    <mergeCell ref="H52:I52"/>
    <mergeCell ref="C47:G47"/>
    <mergeCell ref="H47:I47"/>
    <mergeCell ref="C48:G48"/>
    <mergeCell ref="H48:I48"/>
    <mergeCell ref="C49:G49"/>
    <mergeCell ref="H49:I49"/>
    <mergeCell ref="C44:G44"/>
    <mergeCell ref="H44:I44"/>
    <mergeCell ref="C45:G45"/>
    <mergeCell ref="H45:I45"/>
    <mergeCell ref="C46:G46"/>
    <mergeCell ref="H46:I46"/>
    <mergeCell ref="C41:G41"/>
    <mergeCell ref="H41:I41"/>
    <mergeCell ref="C42:G42"/>
    <mergeCell ref="H42:I42"/>
    <mergeCell ref="C43:G43"/>
    <mergeCell ref="H43:I43"/>
    <mergeCell ref="C38:G38"/>
    <mergeCell ref="H38:I38"/>
    <mergeCell ref="C39:G39"/>
    <mergeCell ref="H39:I39"/>
    <mergeCell ref="C40:G40"/>
    <mergeCell ref="H40:I40"/>
    <mergeCell ref="C35:G35"/>
    <mergeCell ref="H35:I35"/>
    <mergeCell ref="C36:G36"/>
    <mergeCell ref="H36:I36"/>
    <mergeCell ref="C37:G37"/>
    <mergeCell ref="H37:I37"/>
    <mergeCell ref="C32:G32"/>
    <mergeCell ref="H32:I32"/>
    <mergeCell ref="C33:G33"/>
    <mergeCell ref="H33:I33"/>
    <mergeCell ref="C34:G34"/>
    <mergeCell ref="H34:I34"/>
    <mergeCell ref="C29:G29"/>
    <mergeCell ref="H29:I29"/>
    <mergeCell ref="C30:G30"/>
    <mergeCell ref="H30:I30"/>
    <mergeCell ref="C31:G31"/>
    <mergeCell ref="H31:I31"/>
    <mergeCell ref="C26:G26"/>
    <mergeCell ref="H26:I26"/>
    <mergeCell ref="C27:G27"/>
    <mergeCell ref="H27:I27"/>
    <mergeCell ref="C28:G28"/>
    <mergeCell ref="H28:I28"/>
    <mergeCell ref="C23:G23"/>
    <mergeCell ref="H23:I23"/>
    <mergeCell ref="C24:G24"/>
    <mergeCell ref="H24:I24"/>
    <mergeCell ref="C25:G25"/>
    <mergeCell ref="H25:I25"/>
    <mergeCell ref="C20:G20"/>
    <mergeCell ref="H20:I20"/>
    <mergeCell ref="C21:G21"/>
    <mergeCell ref="H21:I21"/>
    <mergeCell ref="C22:G22"/>
    <mergeCell ref="H22:I22"/>
    <mergeCell ref="C17:G17"/>
    <mergeCell ref="H17:I17"/>
    <mergeCell ref="C18:G18"/>
    <mergeCell ref="H18:I18"/>
    <mergeCell ref="C19:G19"/>
    <mergeCell ref="H19:I19"/>
    <mergeCell ref="C14:G14"/>
    <mergeCell ref="H14:I14"/>
    <mergeCell ref="C15:G15"/>
    <mergeCell ref="H15:I15"/>
    <mergeCell ref="C16:G16"/>
    <mergeCell ref="H16:I16"/>
    <mergeCell ref="B10:I10"/>
    <mergeCell ref="C12:G12"/>
    <mergeCell ref="H12:I12"/>
    <mergeCell ref="C13:G13"/>
    <mergeCell ref="H13:I13"/>
    <mergeCell ref="B5:C6"/>
    <mergeCell ref="D5:E6"/>
    <mergeCell ref="F5:G6"/>
    <mergeCell ref="H5:I6"/>
    <mergeCell ref="B9:C9"/>
    <mergeCell ref="D9:E9"/>
    <mergeCell ref="F9:G9"/>
    <mergeCell ref="H9:I9"/>
    <mergeCell ref="B2:I2"/>
    <mergeCell ref="B3:I3"/>
    <mergeCell ref="B4:C4"/>
    <mergeCell ref="D4:E4"/>
    <mergeCell ref="F4:G4"/>
    <mergeCell ref="H4:I4"/>
  </mergeCells>
  <printOptions headings="0" gridLines="0"/>
  <pageMargins left="0.29999999999999999" right="0.29999999999999999" top="0.40000000000000008" bottom="0.40000000000000008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41C6CF67-3FAB-4808-97DA-F5FB3B54C8A3}" type="list" allowBlank="1" errorStyle="stop" imeMode="noControl" operator="between" showDropDown="0" showErrorMessage="0" showInputMessage="0">
          <x14:formula1>
            <xm:f>MacroOpts</xm:f>
          </x14:formula1>
          <x14:formula2>
            <xm:f>0</xm:f>
          </x14:formula2>
          <xm:sqref>B9</xm:sqref>
        </x14:dataValidation>
        <x14:dataValidation xr:uid="{C17E887A-AFB1-465E-99A7-54063A974254}" type="list" allowBlank="1" errorStyle="stop" imeMode="noControl" operator="between" showDropDown="0" showErrorMessage="0" showInputMessage="0">
          <x14:formula1>
            <xm:f>D2_SubOpts</xm:f>
          </x14:formula1>
          <x14:formula2>
            <xm:f>0</xm:f>
          </x14:formula2>
          <xm:sqref>D9</xm:sqref>
        </x14:dataValidation>
        <x14:dataValidation xr:uid="{9022556B-C961-4951-A1B6-CBEE64924E24}" type="list" allowBlank="1" errorStyle="stop" imeMode="noControl" operator="between" showDropDown="0" showErrorMessage="0" showInputMessage="0">
          <x14:formula1>
            <xm:f>D2_ItemOpts</xm:f>
          </x14:formula1>
          <x14:formula2>
            <xm:f>0</xm:f>
          </x14:formula2>
          <xm:sqref>F9</xm:sqref>
        </x14:dataValidation>
        <x14:dataValidation xr:uid="{414E9014-61C6-4580-B8FB-23BAA8F05D8A}" type="list" allowBlank="1" errorStyle="stop" imeMode="noControl" operator="between" showDropDown="0" showErrorMessage="0" showInputMessage="0">
          <x14:formula1>
            <xm:f>D2_SitOpts</xm:f>
          </x14:formula1>
          <x14:formula2>
            <xm:f>0</xm:f>
          </x14:formula2>
          <xm:sqref>H9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0" workbookViewId="0">
      <pane ySplit="12" topLeftCell="A13" activePane="bottomLeft" state="frozen"/>
      <selection activeCell="L14" activeCellId="0" sqref="L14"/>
    </sheetView>
  </sheetViews>
  <sheetFormatPr baseColWidth="10" defaultColWidth="8.6640625" defaultRowHeight="14.25"/>
  <cols>
    <col customWidth="1" min="1" max="1" width="6"/>
    <col customWidth="1" min="2" max="2" width="4"/>
    <col customWidth="1" min="3" max="3" width="16"/>
    <col customWidth="1" min="4" max="4" width="24"/>
    <col customWidth="1" min="5" max="5" width="22"/>
    <col customWidth="1" min="6" max="6" width="18"/>
    <col customWidth="1" min="7" max="8" width="16"/>
    <col customWidth="1" min="9" max="9" width="4"/>
    <col customWidth="1" min="10" max="10" width="6"/>
  </cols>
  <sheetData>
    <row r="2" ht="31.5" customHeight="1">
      <c r="C2" s="59" t="s">
        <v>22</v>
      </c>
      <c r="D2" s="59"/>
      <c r="E2" s="59"/>
      <c r="F2" s="59"/>
      <c r="G2" s="59"/>
      <c r="H2" s="59"/>
    </row>
    <row r="3" ht="15" customHeight="1">
      <c r="C3" s="60"/>
      <c r="D3" s="60"/>
      <c r="E3" s="60"/>
      <c r="F3" s="60"/>
      <c r="G3" s="60"/>
      <c r="H3" s="60"/>
    </row>
    <row r="4" ht="15" customHeight="1">
      <c r="C4" s="61" t="s">
        <v>23</v>
      </c>
      <c r="D4" s="61"/>
      <c r="E4" s="61"/>
      <c r="F4" s="61"/>
      <c r="G4" s="61"/>
      <c r="H4" s="61"/>
    </row>
    <row r="5" ht="21.75" customHeight="1">
      <c r="C5" s="62" t="s">
        <v>24</v>
      </c>
      <c r="D5" s="63" t="s">
        <v>6</v>
      </c>
      <c r="E5" s="63"/>
      <c r="F5" s="63"/>
    </row>
    <row r="6" ht="21.75" customHeight="1">
      <c r="C6" s="62" t="s">
        <v>25</v>
      </c>
      <c r="D6" s="63"/>
      <c r="E6" s="63"/>
      <c r="F6" s="63"/>
    </row>
    <row r="7" ht="21.75" customHeight="1">
      <c r="C7" s="62" t="s">
        <v>26</v>
      </c>
      <c r="D7" s="63"/>
      <c r="E7" s="63"/>
      <c r="F7" s="63"/>
    </row>
    <row r="8" ht="21.75" customHeight="1">
      <c r="C8" s="62" t="s">
        <v>27</v>
      </c>
      <c r="D8" s="63"/>
      <c r="E8" s="63"/>
      <c r="F8" s="63"/>
    </row>
    <row r="10" ht="21.75" customHeight="1">
      <c r="C10" s="64" t="str">
        <f>IF((IF($D$5&lt;&gt;"","   ›   "&amp;$D$5,"")&amp;IF($D$6&lt;&gt;"","   ›   "&amp;$D$6,"")&amp;IF($D$7&lt;&gt;"","   ›   "&amp;$D$7,"")&amp;IF($D$8&lt;&gt;"","   ›   "&amp;$D$8,""))="","Showing:  All accounts","Showing:  "&amp;MID((IF($D$5&lt;&gt;"","   ›   "&amp;$D$5,"")&amp;IF($D$6&lt;&gt;"","   ›   "&amp;$D$6,"")&amp;IF($D$7&lt;&gt;"","   ›   "&amp;$D$7,"")&amp;IF($D$8&lt;&gt;"","   ›   "&amp;$D$8,"")),8,999))</f>
        <v xml:space="preserve">Showing:  C) ATTIVO CIRCOLANTE</v>
      </c>
      <c r="D10" s="64"/>
      <c r="E10" s="64"/>
      <c r="F10" s="64"/>
      <c r="G10" s="64"/>
      <c r="H10" s="64"/>
    </row>
    <row r="11" ht="15" customHeight="1">
      <c r="C11" s="65" t="str">
        <f>IF(SUM(D3_Flag)=0,"No matching records for the current filters.","")</f>
        <v/>
      </c>
      <c r="D11" s="65"/>
      <c r="E11" s="65"/>
      <c r="F11" s="65"/>
      <c r="G11" s="65"/>
      <c r="H11" s="65"/>
    </row>
    <row r="13" ht="24" customHeight="1">
      <c r="C13" s="66" t="s">
        <v>9</v>
      </c>
      <c r="D13" s="66" t="s">
        <v>10</v>
      </c>
      <c r="E13" s="66"/>
      <c r="F13" s="66"/>
      <c r="G13" s="67" t="s">
        <v>11</v>
      </c>
      <c r="H13" s="67"/>
    </row>
    <row r="14" ht="18.75" customHeight="1">
      <c r="C14" s="68" t="str">
        <f>IFERROR(INDEX(DATASET!$G$2:$G$47,MATCH(1,D3_Rank,0)),"")</f>
        <v>19764</v>
      </c>
      <c r="D14" s="69" t="str">
        <f>IFERROR(INDEX(DATASET!$H$2:$H$47,MATCH(1,D3_Rank,0)),"")</f>
        <v xml:space="preserve">FERRARI MILANO S.R.L.</v>
      </c>
      <c r="E14" s="69"/>
      <c r="F14" s="69"/>
      <c r="G14" s="70">
        <f>IFERROR(INDEX(DATASET!$I$2:$I$47,MATCH(1,D3_Rank,0)),"")</f>
        <v>19457205.629999999</v>
      </c>
      <c r="H14" s="70"/>
    </row>
    <row r="15" ht="18.75" customHeight="1">
      <c r="C15" s="71" t="str">
        <f>IFERROR(INDEX(DATASET!$G$2:$G$47,MATCH(2,D3_Rank,0)),"")</f>
        <v>19764</v>
      </c>
      <c r="D15" s="72" t="str">
        <f>IFERROR(INDEX(DATASET!$H$2:$H$47,MATCH(2,D3_Rank,0)),"")</f>
        <v xml:space="preserve">FERRARI MILANO S.R.L.</v>
      </c>
      <c r="E15" s="72"/>
      <c r="F15" s="72"/>
      <c r="G15" s="73">
        <f>IFERROR(INDEX(DATASET!$I$2:$I$47,MATCH(2,D3_Rank,0)),"")</f>
        <v>1158000</v>
      </c>
      <c r="H15" s="73"/>
    </row>
    <row r="16" ht="18.75" customHeight="1">
      <c r="C16" s="68" t="str">
        <f>IFERROR(INDEX(DATASET!$G$2:$G$47,MATCH(3,D3_Rank,0)),"")</f>
        <v>19764</v>
      </c>
      <c r="D16" s="69" t="str">
        <f>IFERROR(INDEX(DATASET!$H$2:$H$47,MATCH(3,D3_Rank,0)),"")</f>
        <v xml:space="preserve">FERRARI MILANO S.R.L.</v>
      </c>
      <c r="E16" s="69"/>
      <c r="F16" s="69"/>
      <c r="G16" s="70">
        <f>IFERROR(INDEX(DATASET!$I$2:$I$47,MATCH(3,D3_Rank,0)),"")</f>
        <v>81873.800000000003</v>
      </c>
      <c r="H16" s="70"/>
    </row>
    <row r="17" ht="18.75" customHeight="1">
      <c r="C17" s="71" t="str">
        <f>IFERROR(INDEX(DATASET!$G$2:$G$47,MATCH(4,D3_Rank,0)),"")</f>
        <v>32650</v>
      </c>
      <c r="D17" s="72" t="str">
        <f>IFERROR(INDEX(DATASET!$H$2:$H$47,MATCH(4,D3_Rank,0)),"")</f>
        <v xml:space="preserve">STONE ISLAND S.R.L.</v>
      </c>
      <c r="E17" s="72"/>
      <c r="F17" s="72"/>
      <c r="G17" s="73">
        <f>IFERROR(INDEX(DATASET!$I$2:$I$47,MATCH(4,D3_Rank,0)),"")</f>
        <v>8500</v>
      </c>
      <c r="H17" s="73"/>
    </row>
    <row r="18" ht="18.75" customHeight="1">
      <c r="C18" s="68" t="str">
        <f>IFERROR(INDEX(DATASET!$G$2:$G$47,MATCH(5,D3_Rank,0)),"")</f>
        <v>10030100910</v>
      </c>
      <c r="D18" s="69" t="str">
        <f>IFERROR(INDEX(DATASET!$H$2:$H$47,MATCH(5,D3_Rank,0)),"")</f>
        <v xml:space="preserve">IVA in compensazione entro es. succ.</v>
      </c>
      <c r="E18" s="69"/>
      <c r="F18" s="69"/>
      <c r="G18" s="70">
        <f>IFERROR(INDEX(DATASET!$I$2:$I$47,MATCH(5,D3_Rank,0)),"")</f>
        <v>167</v>
      </c>
      <c r="H18" s="70"/>
    </row>
    <row r="19" ht="18.75" customHeight="1">
      <c r="C19" s="71" t="str">
        <f>IFERROR(INDEX(DATASET!$G$2:$G$47,MATCH(6,D3_Rank,0)),"")</f>
        <v>10030100915</v>
      </c>
      <c r="D19" s="72" t="str">
        <f>IFERROR(INDEX(DATASET!$H$2:$H$47,MATCH(6,D3_Rank,0)),"")</f>
        <v xml:space="preserve">IRPEF/IRES in compensaz. entro es.succ.</v>
      </c>
      <c r="E19" s="72"/>
      <c r="F19" s="72"/>
      <c r="G19" s="73">
        <f>IFERROR(INDEX(DATASET!$I$2:$I$47,MATCH(6,D3_Rank,0)),"")</f>
        <v>60907.199999999997</v>
      </c>
      <c r="H19" s="73"/>
    </row>
    <row r="20" ht="18.75" customHeight="1">
      <c r="C20" s="68" t="str">
        <f>IFERROR(INDEX(DATASET!$G$2:$G$47,MATCH(7,D3_Rank,0)),"")</f>
        <v>100301710</v>
      </c>
      <c r="D20" s="69" t="str">
        <f>IFERROR(INDEX(DATASET!$H$2:$H$47,MATCH(7,D3_Rank,0)),"")</f>
        <v xml:space="preserve">IRES per imposte anticipate</v>
      </c>
      <c r="E20" s="69"/>
      <c r="F20" s="69"/>
      <c r="G20" s="70">
        <f>IFERROR(INDEX(DATASET!$I$2:$I$47,MATCH(7,D3_Rank,0)),"")</f>
        <v>5403.04</v>
      </c>
      <c r="H20" s="70"/>
    </row>
    <row r="21" ht="18.75" customHeight="1">
      <c r="C21" s="71" t="str">
        <f>IFERROR(INDEX(DATASET!$G$2:$G$47,MATCH(8,D3_Rank,0)),"")</f>
        <v>1201015</v>
      </c>
      <c r="D21" s="72" t="str">
        <f>IFERROR(INDEX(DATASET!$H$2:$H$47,MATCH(8,D3_Rank,0)),"")</f>
        <v xml:space="preserve">Banca Popolare di Sondrio</v>
      </c>
      <c r="E21" s="72"/>
      <c r="F21" s="72"/>
      <c r="G21" s="73">
        <f>IFERROR(INDEX(DATASET!$I$2:$I$47,MATCH(8,D3_Rank,0)),"")</f>
        <v>23401.290000000001</v>
      </c>
      <c r="H21" s="73"/>
    </row>
    <row r="22" ht="18.75" customHeight="1">
      <c r="C22" s="68" t="str">
        <f>IFERROR(INDEX(DATASET!$G$2:$G$47,MATCH(9,D3_Rank,0)),"")</f>
        <v/>
      </c>
      <c r="D22" s="69" t="str">
        <f>IFERROR(INDEX(DATASET!$H$2:$H$47,MATCH(9,D3_Rank,0)),"")</f>
        <v/>
      </c>
      <c r="E22" s="69"/>
      <c r="F22" s="69"/>
      <c r="G22" s="70" t="str">
        <f>IFERROR(INDEX(DATASET!$I$2:$I$47,MATCH(9,D3_Rank,0)),"")</f>
        <v/>
      </c>
      <c r="H22" s="70"/>
    </row>
    <row r="23" ht="18.75" customHeight="1">
      <c r="C23" s="71" t="str">
        <f>IFERROR(INDEX(DATASET!$G$2:$G$47,MATCH(10,D3_Rank,0)),"")</f>
        <v/>
      </c>
      <c r="D23" s="72" t="str">
        <f>IFERROR(INDEX(DATASET!$H$2:$H$47,MATCH(10,D3_Rank,0)),"")</f>
        <v/>
      </c>
      <c r="E23" s="72"/>
      <c r="F23" s="72"/>
      <c r="G23" s="73" t="str">
        <f>IFERROR(INDEX(DATASET!$I$2:$I$47,MATCH(10,D3_Rank,0)),"")</f>
        <v/>
      </c>
      <c r="H23" s="73"/>
    </row>
    <row r="24" ht="18.75" customHeight="1">
      <c r="C24" s="68" t="str">
        <f>IFERROR(INDEX(DATASET!$G$2:$G$47,MATCH(11,D3_Rank,0)),"")</f>
        <v/>
      </c>
      <c r="D24" s="69" t="str">
        <f>IFERROR(INDEX(DATASET!$H$2:$H$47,MATCH(11,D3_Rank,0)),"")</f>
        <v/>
      </c>
      <c r="E24" s="69"/>
      <c r="F24" s="69"/>
      <c r="G24" s="70" t="str">
        <f>IFERROR(INDEX(DATASET!$I$2:$I$47,MATCH(11,D3_Rank,0)),"")</f>
        <v/>
      </c>
      <c r="H24" s="70"/>
    </row>
    <row r="25" ht="18.75" customHeight="1">
      <c r="C25" s="71" t="str">
        <f>IFERROR(INDEX(DATASET!$G$2:$G$47,MATCH(12,D3_Rank,0)),"")</f>
        <v/>
      </c>
      <c r="D25" s="72" t="str">
        <f>IFERROR(INDEX(DATASET!$H$2:$H$47,MATCH(12,D3_Rank,0)),"")</f>
        <v/>
      </c>
      <c r="E25" s="72"/>
      <c r="F25" s="72"/>
      <c r="G25" s="73" t="str">
        <f>IFERROR(INDEX(DATASET!$I$2:$I$47,MATCH(12,D3_Rank,0)),"")</f>
        <v/>
      </c>
      <c r="H25" s="73"/>
    </row>
    <row r="26" ht="18.75" customHeight="1">
      <c r="C26" s="68" t="str">
        <f>IFERROR(INDEX(DATASET!$G$2:$G$47,MATCH(13,D3_Rank,0)),"")</f>
        <v/>
      </c>
      <c r="D26" s="69" t="str">
        <f>IFERROR(INDEX(DATASET!$H$2:$H$47,MATCH(13,D3_Rank,0)),"")</f>
        <v/>
      </c>
      <c r="E26" s="69"/>
      <c r="F26" s="69"/>
      <c r="G26" s="70" t="str">
        <f>IFERROR(INDEX(DATASET!$I$2:$I$47,MATCH(13,D3_Rank,0)),"")</f>
        <v/>
      </c>
      <c r="H26" s="70"/>
    </row>
    <row r="27" ht="18.75" customHeight="1">
      <c r="C27" s="71" t="str">
        <f>IFERROR(INDEX(DATASET!$G$2:$G$47,MATCH(14,D3_Rank,0)),"")</f>
        <v/>
      </c>
      <c r="D27" s="72" t="str">
        <f>IFERROR(INDEX(DATASET!$H$2:$H$47,MATCH(14,D3_Rank,0)),"")</f>
        <v/>
      </c>
      <c r="E27" s="72"/>
      <c r="F27" s="72"/>
      <c r="G27" s="73" t="str">
        <f>IFERROR(INDEX(DATASET!$I$2:$I$47,MATCH(14,D3_Rank,0)),"")</f>
        <v/>
      </c>
      <c r="H27" s="73"/>
    </row>
    <row r="28" ht="18.75" customHeight="1">
      <c r="C28" s="68" t="str">
        <f>IFERROR(INDEX(DATASET!$G$2:$G$47,MATCH(15,D3_Rank,0)),"")</f>
        <v/>
      </c>
      <c r="D28" s="69" t="str">
        <f>IFERROR(INDEX(DATASET!$H$2:$H$47,MATCH(15,D3_Rank,0)),"")</f>
        <v/>
      </c>
      <c r="E28" s="69"/>
      <c r="F28" s="69"/>
      <c r="G28" s="70" t="str">
        <f>IFERROR(INDEX(DATASET!$I$2:$I$47,MATCH(15,D3_Rank,0)),"")</f>
        <v/>
      </c>
      <c r="H28" s="70"/>
    </row>
    <row r="29" ht="18.75" customHeight="1">
      <c r="C29" s="71" t="str">
        <f>IFERROR(INDEX(DATASET!$G$2:$G$47,MATCH(16,D3_Rank,0)),"")</f>
        <v/>
      </c>
      <c r="D29" s="72" t="str">
        <f>IFERROR(INDEX(DATASET!$H$2:$H$47,MATCH(16,D3_Rank,0)),"")</f>
        <v/>
      </c>
      <c r="E29" s="72"/>
      <c r="F29" s="72"/>
      <c r="G29" s="73" t="str">
        <f>IFERROR(INDEX(DATASET!$I$2:$I$47,MATCH(16,D3_Rank,0)),"")</f>
        <v/>
      </c>
      <c r="H29" s="73"/>
    </row>
    <row r="30" ht="18.75" customHeight="1">
      <c r="C30" s="68" t="str">
        <f>IFERROR(INDEX(DATASET!$G$2:$G$47,MATCH(17,D3_Rank,0)),"")</f>
        <v/>
      </c>
      <c r="D30" s="69" t="str">
        <f>IFERROR(INDEX(DATASET!$H$2:$H$47,MATCH(17,D3_Rank,0)),"")</f>
        <v/>
      </c>
      <c r="E30" s="69"/>
      <c r="F30" s="69"/>
      <c r="G30" s="70" t="str">
        <f>IFERROR(INDEX(DATASET!$I$2:$I$47,MATCH(17,D3_Rank,0)),"")</f>
        <v/>
      </c>
      <c r="H30" s="70"/>
    </row>
    <row r="31" ht="18.75" customHeight="1">
      <c r="C31" s="71" t="str">
        <f>IFERROR(INDEX(DATASET!$G$2:$G$47,MATCH(18,D3_Rank,0)),"")</f>
        <v/>
      </c>
      <c r="D31" s="72" t="str">
        <f>IFERROR(INDEX(DATASET!$H$2:$H$47,MATCH(18,D3_Rank,0)),"")</f>
        <v/>
      </c>
      <c r="E31" s="72"/>
      <c r="F31" s="72"/>
      <c r="G31" s="73" t="str">
        <f>IFERROR(INDEX(DATASET!$I$2:$I$47,MATCH(18,D3_Rank,0)),"")</f>
        <v/>
      </c>
      <c r="H31" s="73"/>
    </row>
    <row r="32" ht="18.75" customHeight="1">
      <c r="C32" s="68" t="str">
        <f>IFERROR(INDEX(DATASET!$G$2:$G$47,MATCH(19,D3_Rank,0)),"")</f>
        <v/>
      </c>
      <c r="D32" s="69" t="str">
        <f>IFERROR(INDEX(DATASET!$H$2:$H$47,MATCH(19,D3_Rank,0)),"")</f>
        <v/>
      </c>
      <c r="E32" s="69"/>
      <c r="F32" s="69"/>
      <c r="G32" s="70" t="str">
        <f>IFERROR(INDEX(DATASET!$I$2:$I$47,MATCH(19,D3_Rank,0)),"")</f>
        <v/>
      </c>
      <c r="H32" s="70"/>
    </row>
    <row r="33" ht="18.75" customHeight="1">
      <c r="C33" s="71" t="str">
        <f>IFERROR(INDEX(DATASET!$G$2:$G$47,MATCH(20,D3_Rank,0)),"")</f>
        <v/>
      </c>
      <c r="D33" s="72" t="str">
        <f>IFERROR(INDEX(DATASET!$H$2:$H$47,MATCH(20,D3_Rank,0)),"")</f>
        <v/>
      </c>
      <c r="E33" s="72"/>
      <c r="F33" s="72"/>
      <c r="G33" s="73" t="str">
        <f>IFERROR(INDEX(DATASET!$I$2:$I$47,MATCH(20,D3_Rank,0)),"")</f>
        <v/>
      </c>
      <c r="H33" s="73"/>
    </row>
    <row r="34" ht="18.75" customHeight="1">
      <c r="C34" s="68" t="str">
        <f>IFERROR(INDEX(DATASET!$G$2:$G$47,MATCH(21,D3_Rank,0)),"")</f>
        <v/>
      </c>
      <c r="D34" s="69" t="str">
        <f>IFERROR(INDEX(DATASET!$H$2:$H$47,MATCH(21,D3_Rank,0)),"")</f>
        <v/>
      </c>
      <c r="E34" s="69"/>
      <c r="F34" s="69"/>
      <c r="G34" s="70" t="str">
        <f>IFERROR(INDEX(DATASET!$I$2:$I$47,MATCH(21,D3_Rank,0)),"")</f>
        <v/>
      </c>
      <c r="H34" s="70"/>
    </row>
    <row r="35" ht="18.75" customHeight="1">
      <c r="C35" s="71" t="str">
        <f>IFERROR(INDEX(DATASET!$G$2:$G$47,MATCH(22,D3_Rank,0)),"")</f>
        <v/>
      </c>
      <c r="D35" s="72" t="str">
        <f>IFERROR(INDEX(DATASET!$H$2:$H$47,MATCH(22,D3_Rank,0)),"")</f>
        <v/>
      </c>
      <c r="E35" s="72"/>
      <c r="F35" s="72"/>
      <c r="G35" s="73" t="str">
        <f>IFERROR(INDEX(DATASET!$I$2:$I$47,MATCH(22,D3_Rank,0)),"")</f>
        <v/>
      </c>
      <c r="H35" s="73"/>
    </row>
    <row r="36" ht="18.75" customHeight="1">
      <c r="C36" s="68" t="str">
        <f>IFERROR(INDEX(DATASET!$G$2:$G$47,MATCH(23,D3_Rank,0)),"")</f>
        <v/>
      </c>
      <c r="D36" s="69" t="str">
        <f>IFERROR(INDEX(DATASET!$H$2:$H$47,MATCH(23,D3_Rank,0)),"")</f>
        <v/>
      </c>
      <c r="E36" s="69"/>
      <c r="F36" s="69"/>
      <c r="G36" s="70" t="str">
        <f>IFERROR(INDEX(DATASET!$I$2:$I$47,MATCH(23,D3_Rank,0)),"")</f>
        <v/>
      </c>
      <c r="H36" s="70"/>
    </row>
    <row r="37" ht="18.75" customHeight="1">
      <c r="C37" s="71" t="str">
        <f>IFERROR(INDEX(DATASET!$G$2:$G$47,MATCH(24,D3_Rank,0)),"")</f>
        <v/>
      </c>
      <c r="D37" s="72" t="str">
        <f>IFERROR(INDEX(DATASET!$H$2:$H$47,MATCH(24,D3_Rank,0)),"")</f>
        <v/>
      </c>
      <c r="E37" s="72"/>
      <c r="F37" s="72"/>
      <c r="G37" s="73" t="str">
        <f>IFERROR(INDEX(DATASET!$I$2:$I$47,MATCH(24,D3_Rank,0)),"")</f>
        <v/>
      </c>
      <c r="H37" s="73"/>
    </row>
    <row r="38" ht="18.75" customHeight="1">
      <c r="C38" s="68" t="str">
        <f>IFERROR(INDEX(DATASET!$G$2:$G$47,MATCH(25,D3_Rank,0)),"")</f>
        <v/>
      </c>
      <c r="D38" s="69" t="str">
        <f>IFERROR(INDEX(DATASET!$H$2:$H$47,MATCH(25,D3_Rank,0)),"")</f>
        <v/>
      </c>
      <c r="E38" s="69"/>
      <c r="F38" s="69"/>
      <c r="G38" s="70" t="str">
        <f>IFERROR(INDEX(DATASET!$I$2:$I$47,MATCH(25,D3_Rank,0)),"")</f>
        <v/>
      </c>
      <c r="H38" s="70"/>
    </row>
    <row r="39" ht="18.75" customHeight="1">
      <c r="C39" s="71" t="str">
        <f>IFERROR(INDEX(DATASET!$G$2:$G$47,MATCH(26,D3_Rank,0)),"")</f>
        <v/>
      </c>
      <c r="D39" s="72" t="str">
        <f>IFERROR(INDEX(DATASET!$H$2:$H$47,MATCH(26,D3_Rank,0)),"")</f>
        <v/>
      </c>
      <c r="E39" s="72"/>
      <c r="F39" s="72"/>
      <c r="G39" s="73" t="str">
        <f>IFERROR(INDEX(DATASET!$I$2:$I$47,MATCH(26,D3_Rank,0)),"")</f>
        <v/>
      </c>
      <c r="H39" s="73"/>
    </row>
    <row r="40" ht="18.75" customHeight="1">
      <c r="C40" s="68" t="str">
        <f>IFERROR(INDEX(DATASET!$G$2:$G$47,MATCH(27,D3_Rank,0)),"")</f>
        <v/>
      </c>
      <c r="D40" s="69" t="str">
        <f>IFERROR(INDEX(DATASET!$H$2:$H$47,MATCH(27,D3_Rank,0)),"")</f>
        <v/>
      </c>
      <c r="E40" s="69"/>
      <c r="F40" s="69"/>
      <c r="G40" s="70" t="str">
        <f>IFERROR(INDEX(DATASET!$I$2:$I$47,MATCH(27,D3_Rank,0)),"")</f>
        <v/>
      </c>
      <c r="H40" s="70"/>
    </row>
    <row r="41" ht="18.75" customHeight="1">
      <c r="C41" s="71" t="str">
        <f>IFERROR(INDEX(DATASET!$G$2:$G$47,MATCH(28,D3_Rank,0)),"")</f>
        <v/>
      </c>
      <c r="D41" s="72" t="str">
        <f>IFERROR(INDEX(DATASET!$H$2:$H$47,MATCH(28,D3_Rank,0)),"")</f>
        <v/>
      </c>
      <c r="E41" s="72"/>
      <c r="F41" s="72"/>
      <c r="G41" s="73" t="str">
        <f>IFERROR(INDEX(DATASET!$I$2:$I$47,MATCH(28,D3_Rank,0)),"")</f>
        <v/>
      </c>
      <c r="H41" s="73"/>
    </row>
    <row r="42" ht="18.75" customHeight="1">
      <c r="C42" s="68" t="str">
        <f>IFERROR(INDEX(DATASET!$G$2:$G$47,MATCH(29,D3_Rank,0)),"")</f>
        <v/>
      </c>
      <c r="D42" s="69" t="str">
        <f>IFERROR(INDEX(DATASET!$H$2:$H$47,MATCH(29,D3_Rank,0)),"")</f>
        <v/>
      </c>
      <c r="E42" s="69"/>
      <c r="F42" s="69"/>
      <c r="G42" s="70" t="str">
        <f>IFERROR(INDEX(DATASET!$I$2:$I$47,MATCH(29,D3_Rank,0)),"")</f>
        <v/>
      </c>
      <c r="H42" s="70"/>
    </row>
    <row r="43" ht="18.75" customHeight="1">
      <c r="C43" s="71" t="str">
        <f>IFERROR(INDEX(DATASET!$G$2:$G$47,MATCH(30,D3_Rank,0)),"")</f>
        <v/>
      </c>
      <c r="D43" s="72" t="str">
        <f>IFERROR(INDEX(DATASET!$H$2:$H$47,MATCH(30,D3_Rank,0)),"")</f>
        <v/>
      </c>
      <c r="E43" s="72"/>
      <c r="F43" s="72"/>
      <c r="G43" s="73" t="str">
        <f>IFERROR(INDEX(DATASET!$I$2:$I$47,MATCH(30,D3_Rank,0)),"")</f>
        <v/>
      </c>
      <c r="H43" s="73"/>
    </row>
    <row r="44" ht="18.75" customHeight="1">
      <c r="C44" s="68" t="str">
        <f>IFERROR(INDEX(DATASET!$G$2:$G$47,MATCH(31,D3_Rank,0)),"")</f>
        <v/>
      </c>
      <c r="D44" s="69" t="str">
        <f>IFERROR(INDEX(DATASET!$H$2:$H$47,MATCH(31,D3_Rank,0)),"")</f>
        <v/>
      </c>
      <c r="E44" s="69"/>
      <c r="F44" s="69"/>
      <c r="G44" s="70" t="str">
        <f>IFERROR(INDEX(DATASET!$I$2:$I$47,MATCH(31,D3_Rank,0)),"")</f>
        <v/>
      </c>
      <c r="H44" s="70"/>
    </row>
    <row r="45" ht="18.75" customHeight="1">
      <c r="C45" s="71" t="str">
        <f>IFERROR(INDEX(DATASET!$G$2:$G$47,MATCH(32,D3_Rank,0)),"")</f>
        <v/>
      </c>
      <c r="D45" s="72" t="str">
        <f>IFERROR(INDEX(DATASET!$H$2:$H$47,MATCH(32,D3_Rank,0)),"")</f>
        <v/>
      </c>
      <c r="E45" s="72"/>
      <c r="F45" s="72"/>
      <c r="G45" s="73" t="str">
        <f>IFERROR(INDEX(DATASET!$I$2:$I$47,MATCH(32,D3_Rank,0)),"")</f>
        <v/>
      </c>
      <c r="H45" s="73"/>
    </row>
    <row r="46" ht="18.75" customHeight="1">
      <c r="C46" s="68" t="str">
        <f>IFERROR(INDEX(DATASET!$G$2:$G$47,MATCH(33,D3_Rank,0)),"")</f>
        <v/>
      </c>
      <c r="D46" s="69" t="str">
        <f>IFERROR(INDEX(DATASET!$H$2:$H$47,MATCH(33,D3_Rank,0)),"")</f>
        <v/>
      </c>
      <c r="E46" s="69"/>
      <c r="F46" s="69"/>
      <c r="G46" s="70" t="str">
        <f>IFERROR(INDEX(DATASET!$I$2:$I$47,MATCH(33,D3_Rank,0)),"")</f>
        <v/>
      </c>
      <c r="H46" s="70"/>
    </row>
    <row r="47" ht="18.75" customHeight="1">
      <c r="C47" s="71" t="str">
        <f>IFERROR(INDEX(DATASET!$G$2:$G$47,MATCH(34,D3_Rank,0)),"")</f>
        <v/>
      </c>
      <c r="D47" s="72" t="str">
        <f>IFERROR(INDEX(DATASET!$H$2:$H$47,MATCH(34,D3_Rank,0)),"")</f>
        <v/>
      </c>
      <c r="E47" s="72"/>
      <c r="F47" s="72"/>
      <c r="G47" s="73" t="str">
        <f>IFERROR(INDEX(DATASET!$I$2:$I$47,MATCH(34,D3_Rank,0)),"")</f>
        <v/>
      </c>
      <c r="H47" s="73"/>
    </row>
    <row r="48" ht="18.75" customHeight="1">
      <c r="C48" s="68" t="str">
        <f>IFERROR(INDEX(DATASET!$G$2:$G$47,MATCH(35,D3_Rank,0)),"")</f>
        <v/>
      </c>
      <c r="D48" s="69" t="str">
        <f>IFERROR(INDEX(DATASET!$H$2:$H$47,MATCH(35,D3_Rank,0)),"")</f>
        <v/>
      </c>
      <c r="E48" s="69"/>
      <c r="F48" s="69"/>
      <c r="G48" s="70" t="str">
        <f>IFERROR(INDEX(DATASET!$I$2:$I$47,MATCH(35,D3_Rank,0)),"")</f>
        <v/>
      </c>
      <c r="H48" s="70"/>
    </row>
    <row r="49" ht="18.75" customHeight="1">
      <c r="C49" s="71" t="str">
        <f>IFERROR(INDEX(DATASET!$G$2:$G$47,MATCH(36,D3_Rank,0)),"")</f>
        <v/>
      </c>
      <c r="D49" s="72" t="str">
        <f>IFERROR(INDEX(DATASET!$H$2:$H$47,MATCH(36,D3_Rank,0)),"")</f>
        <v/>
      </c>
      <c r="E49" s="72"/>
      <c r="F49" s="72"/>
      <c r="G49" s="73" t="str">
        <f>IFERROR(INDEX(DATASET!$I$2:$I$47,MATCH(36,D3_Rank,0)),"")</f>
        <v/>
      </c>
      <c r="H49" s="73"/>
    </row>
    <row r="50" ht="18.75" customHeight="1">
      <c r="C50" s="68" t="str">
        <f>IFERROR(INDEX(DATASET!$G$2:$G$47,MATCH(37,D3_Rank,0)),"")</f>
        <v/>
      </c>
      <c r="D50" s="69" t="str">
        <f>IFERROR(INDEX(DATASET!$H$2:$H$47,MATCH(37,D3_Rank,0)),"")</f>
        <v/>
      </c>
      <c r="E50" s="69"/>
      <c r="F50" s="69"/>
      <c r="G50" s="70" t="str">
        <f>IFERROR(INDEX(DATASET!$I$2:$I$47,MATCH(37,D3_Rank,0)),"")</f>
        <v/>
      </c>
      <c r="H50" s="70"/>
    </row>
    <row r="51" ht="18.75" customHeight="1">
      <c r="C51" s="71" t="str">
        <f>IFERROR(INDEX(DATASET!$G$2:$G$47,MATCH(38,D3_Rank,0)),"")</f>
        <v/>
      </c>
      <c r="D51" s="72" t="str">
        <f>IFERROR(INDEX(DATASET!$H$2:$H$47,MATCH(38,D3_Rank,0)),"")</f>
        <v/>
      </c>
      <c r="E51" s="72"/>
      <c r="F51" s="72"/>
      <c r="G51" s="73" t="str">
        <f>IFERROR(INDEX(DATASET!$I$2:$I$47,MATCH(38,D3_Rank,0)),"")</f>
        <v/>
      </c>
      <c r="H51" s="73"/>
    </row>
    <row r="52" ht="18.75" customHeight="1">
      <c r="C52" s="68" t="str">
        <f>IFERROR(INDEX(DATASET!$G$2:$G$47,MATCH(39,D3_Rank,0)),"")</f>
        <v/>
      </c>
      <c r="D52" s="69" t="str">
        <f>IFERROR(INDEX(DATASET!$H$2:$H$47,MATCH(39,D3_Rank,0)),"")</f>
        <v/>
      </c>
      <c r="E52" s="69"/>
      <c r="F52" s="69"/>
      <c r="G52" s="70" t="str">
        <f>IFERROR(INDEX(DATASET!$I$2:$I$47,MATCH(39,D3_Rank,0)),"")</f>
        <v/>
      </c>
      <c r="H52" s="70"/>
    </row>
    <row r="53" ht="18.75" customHeight="1">
      <c r="C53" s="71" t="str">
        <f>IFERROR(INDEX(DATASET!$G$2:$G$47,MATCH(40,D3_Rank,0)),"")</f>
        <v/>
      </c>
      <c r="D53" s="72" t="str">
        <f>IFERROR(INDEX(DATASET!$H$2:$H$47,MATCH(40,D3_Rank,0)),"")</f>
        <v/>
      </c>
      <c r="E53" s="72"/>
      <c r="F53" s="72"/>
      <c r="G53" s="73" t="str">
        <f>IFERROR(INDEX(DATASET!$I$2:$I$47,MATCH(40,D3_Rank,0)),"")</f>
        <v/>
      </c>
      <c r="H53" s="73"/>
    </row>
    <row r="54" ht="24" customHeight="1">
      <c r="C54" s="74" t="s">
        <v>12</v>
      </c>
      <c r="D54" s="74"/>
      <c r="E54" s="74"/>
      <c r="F54" s="74"/>
      <c r="G54" s="75">
        <f>SUMPRODUCT(D3_Flag*DATASET!$I$2:$I$47)</f>
        <v>20795457.959999997</v>
      </c>
      <c r="H54" s="75"/>
    </row>
    <row r="56">
      <c r="C56" s="61" t="s">
        <v>28</v>
      </c>
      <c r="D56" s="61"/>
      <c r="E56" s="61"/>
      <c r="F56" s="61"/>
      <c r="G56" s="61"/>
      <c r="H56" s="61"/>
    </row>
  </sheetData>
  <mergeCells count="93">
    <mergeCell ref="C2:H2"/>
    <mergeCell ref="C4:H4"/>
    <mergeCell ref="D5:F5"/>
    <mergeCell ref="D6:F6"/>
    <mergeCell ref="D7:F7"/>
    <mergeCell ref="D8:F8"/>
    <mergeCell ref="C10:H10"/>
    <mergeCell ref="C11:H11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G47:H47"/>
    <mergeCell ref="D48:F48"/>
    <mergeCell ref="G48:H48"/>
    <mergeCell ref="D49:F49"/>
    <mergeCell ref="G49:H49"/>
    <mergeCell ref="D50:F50"/>
    <mergeCell ref="G50:H50"/>
    <mergeCell ref="D51:F51"/>
    <mergeCell ref="G51:H51"/>
    <mergeCell ref="D52:F52"/>
    <mergeCell ref="G52:H52"/>
    <mergeCell ref="D53:F53"/>
    <mergeCell ref="G53:H53"/>
    <mergeCell ref="C54:F54"/>
    <mergeCell ref="G54:H54"/>
    <mergeCell ref="C56:H56"/>
  </mergeCells>
  <printOptions headings="0" gridLines="0"/>
  <pageMargins left="0.29999999999999999" right="0.29999999999999999" top="0.40000000000000008" bottom="0.40000000000000008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4E866038-586A-4C5C-B05C-2D844BAF2C55}" type="list" allowBlank="1" errorStyle="stop" imeMode="noControl" operator="between" showDropDown="0" showErrorMessage="0" showInputMessage="0">
          <x14:formula1>
            <xm:f>MacroOpts</xm:f>
          </x14:formula1>
          <x14:formula2>
            <xm:f>0</xm:f>
          </x14:formula2>
          <xm:sqref>D5</xm:sqref>
        </x14:dataValidation>
        <x14:dataValidation xr:uid="{16AA640B-5BC4-4730-ABF6-8F1AD8A328CA}" type="list" allowBlank="1" errorStyle="stop" imeMode="noControl" operator="between" showDropDown="0" showErrorMessage="0" showInputMessage="0">
          <x14:formula1>
            <xm:f>D3_SubOpts</xm:f>
          </x14:formula1>
          <x14:formula2>
            <xm:f>0</xm:f>
          </x14:formula2>
          <xm:sqref>D6</xm:sqref>
        </x14:dataValidation>
        <x14:dataValidation xr:uid="{2A288A05-ED31-4076-BD1F-531B6D5C8EFF}" type="list" allowBlank="1" errorStyle="stop" imeMode="noControl" operator="between" showDropDown="0" showErrorMessage="0" showInputMessage="0">
          <x14:formula1>
            <xm:f>D3_ItemOpts</xm:f>
          </x14:formula1>
          <x14:formula2>
            <xm:f>0</xm:f>
          </x14:formula2>
          <xm:sqref>D7</xm:sqref>
        </x14:dataValidation>
        <x14:dataValidation xr:uid="{9D69C9C5-43DF-4B8D-A0BD-1F5F0B9865C1}" type="list" allowBlank="1" errorStyle="stop" imeMode="noControl" operator="between" showDropDown="0" showErrorMessage="0" showInputMessage="0">
          <x14:formula1>
            <xm:f>D3_SitOpts</xm:f>
          </x14:formula1>
          <x14:formula2>
            <xm:f>0</xm:f>
          </x14:formula2>
          <xm:sqref>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0" workbookViewId="0">
      <pane ySplit="8" topLeftCell="A9" activePane="bottomLeft" state="frozen"/>
      <selection activeCell="A1" activeCellId="0" sqref="A1"/>
    </sheetView>
  </sheetViews>
  <sheetFormatPr baseColWidth="10" defaultColWidth="8.6640625" defaultRowHeight="15"/>
  <cols>
    <col customWidth="1" min="1" max="1" width="2.5"/>
    <col customWidth="1" min="2" max="2" width="16"/>
    <col customWidth="1" min="3" max="4" width="22"/>
    <col customWidth="1" min="5" max="7" width="18"/>
    <col customWidth="1" min="8" max="9" width="16"/>
    <col customWidth="1" min="10" max="10" width="2.5"/>
  </cols>
  <sheetData>
    <row r="2" ht="33.75" customHeight="1">
      <c r="B2" s="76" t="s">
        <v>29</v>
      </c>
      <c r="C2" s="76"/>
      <c r="D2" s="76"/>
      <c r="E2" s="76"/>
      <c r="F2" s="76"/>
      <c r="G2" s="76"/>
      <c r="H2" s="76"/>
      <c r="I2" s="76"/>
    </row>
    <row r="3" ht="15.75" customHeight="1">
      <c r="B3" s="77" t="s">
        <v>2</v>
      </c>
      <c r="C3" s="78"/>
      <c r="D3" s="77" t="s">
        <v>3</v>
      </c>
      <c r="E3" s="78"/>
      <c r="F3" s="77" t="s">
        <v>4</v>
      </c>
      <c r="G3" s="78"/>
      <c r="H3" s="77" t="s">
        <v>5</v>
      </c>
      <c r="I3" s="78"/>
    </row>
    <row r="4" ht="25.5" customHeight="1">
      <c r="B4" s="79"/>
      <c r="C4" s="79"/>
      <c r="D4" s="79"/>
      <c r="E4" s="79"/>
      <c r="F4" s="79"/>
      <c r="G4" s="79"/>
      <c r="H4" s="79"/>
      <c r="I4" s="79"/>
    </row>
    <row r="6" ht="15" customHeight="1">
      <c r="B6" s="80" t="s">
        <v>7</v>
      </c>
      <c r="E6" s="80" t="s">
        <v>8</v>
      </c>
      <c r="H6" s="81" t="str">
        <f>IF(SUM(D4_Flag)=0,"No records","Live")</f>
        <v>Live</v>
      </c>
      <c r="I6" s="81"/>
    </row>
    <row r="7" ht="19.5" customHeight="1">
      <c r="B7" s="82">
        <f>SUM(D4_Flag)</f>
        <v>40</v>
      </c>
      <c r="E7" s="83">
        <f>SUMPRODUCT(D4_Flag*DATASET!$I$2:$I$47)</f>
        <v>41943266.74000001</v>
      </c>
      <c r="F7" s="83"/>
      <c r="G7" s="83"/>
    </row>
    <row r="9" ht="24" customHeight="1">
      <c r="B9" s="84" t="s">
        <v>9</v>
      </c>
      <c r="C9" s="84" t="s">
        <v>10</v>
      </c>
      <c r="D9" s="84"/>
      <c r="E9" s="84"/>
      <c r="F9" s="84"/>
      <c r="G9" s="84"/>
      <c r="H9" s="85" t="s">
        <v>11</v>
      </c>
      <c r="I9" s="85"/>
    </row>
    <row r="10" ht="18.75" customHeight="1">
      <c r="B10" s="86" t="str">
        <f>IFERROR(INDEX(DATASET!$G$2:$G$47,MATCH(1,D4_Rank,0)),"")</f>
        <v>600151010</v>
      </c>
      <c r="C10" s="87" t="str">
        <f>IFERROR(INDEX(DATASET!$H$2:$H$47,MATCH(1,D4_Rank,0)),"")</f>
        <v xml:space="preserve">Ricavi per prestazioni Italia</v>
      </c>
      <c r="D10" s="87"/>
      <c r="E10" s="87"/>
      <c r="F10" s="87"/>
      <c r="G10" s="87"/>
      <c r="H10" s="88">
        <f>IFERROR(INDEX(DATASET!$I$2:$I$47,MATCH(1,D4_Rank,0)),"")</f>
        <v>110000</v>
      </c>
      <c r="I10" s="88"/>
    </row>
    <row r="11" ht="18.75" customHeight="1">
      <c r="B11" s="89" t="str">
        <f>IFERROR(INDEX(DATASET!$G$2:$G$47,MATCH(2,D4_Rank,0)),"")</f>
        <v>6401215</v>
      </c>
      <c r="C11" s="90" t="str">
        <f>IFERROR(INDEX(DATASET!$H$2:$H$47,MATCH(2,D4_Rank,0)),"")</f>
        <v xml:space="preserve">Abbuoni e arrotondamenti attivi</v>
      </c>
      <c r="D11" s="90"/>
      <c r="E11" s="90"/>
      <c r="F11" s="90"/>
      <c r="G11" s="90"/>
      <c r="H11" s="91">
        <f>IFERROR(INDEX(DATASET!$I$2:$I$47,MATCH(2,D4_Rank,0)),"")</f>
        <v>0.77000000000000002</v>
      </c>
      <c r="I11" s="91"/>
    </row>
    <row r="12" ht="18.75" customHeight="1">
      <c r="B12" s="86" t="str">
        <f>IFERROR(INDEX(DATASET!$G$2:$G$47,MATCH(3,D4_Rank,0)),"")</f>
        <v>6901252</v>
      </c>
      <c r="C12" s="87" t="str">
        <f>IFERROR(INDEX(DATASET!$H$2:$H$47,MATCH(3,D4_Rank,0)),"")</f>
        <v xml:space="preserve">Compenso professionisti</v>
      </c>
      <c r="D12" s="87"/>
      <c r="E12" s="87"/>
      <c r="F12" s="87"/>
      <c r="G12" s="87"/>
      <c r="H12" s="88">
        <f>IFERROR(INDEX(DATASET!$I$2:$I$47,MATCH(3,D4_Rank,0)),"")</f>
        <v>136994.78</v>
      </c>
      <c r="I12" s="88"/>
    </row>
    <row r="13" ht="18.75" customHeight="1">
      <c r="B13" s="89" t="str">
        <f>IFERROR(INDEX(DATASET!$G$2:$G$47,MATCH(4,D4_Rank,0)),"")</f>
        <v>690181015</v>
      </c>
      <c r="C13" s="90" t="str">
        <f>IFERROR(INDEX(DATASET!$H$2:$H$47,MATCH(4,D4_Rank,0)),"")</f>
        <v xml:space="preserve">Consulenze e collaborazioni tecniche</v>
      </c>
      <c r="D13" s="90"/>
      <c r="E13" s="90"/>
      <c r="F13" s="90"/>
      <c r="G13" s="90"/>
      <c r="H13" s="91">
        <f>IFERROR(INDEX(DATASET!$I$2:$I$47,MATCH(4,D4_Rank,0)),"")</f>
        <v>5367.0200000000004</v>
      </c>
      <c r="I13" s="91"/>
    </row>
    <row r="14" ht="18.75" customHeight="1">
      <c r="B14" s="86" t="str">
        <f>IFERROR(INDEX(DATASET!$G$2:$G$47,MATCH(5,D4_Rank,0)),"")</f>
        <v>690182015</v>
      </c>
      <c r="C14" s="87" t="str">
        <f>IFERROR(INDEX(DATASET!$H$2:$H$47,MATCH(5,D4_Rank,0)),"")</f>
        <v xml:space="preserve">Prestazioni notarili</v>
      </c>
      <c r="D14" s="87"/>
      <c r="E14" s="87"/>
      <c r="F14" s="87"/>
      <c r="G14" s="87"/>
      <c r="H14" s="88">
        <f>IFERROR(INDEX(DATASET!$I$2:$I$47,MATCH(5,D4_Rank,0)),"")</f>
        <v>153.75</v>
      </c>
      <c r="I14" s="88"/>
    </row>
    <row r="15" ht="18.75" customHeight="1">
      <c r="B15" s="89" t="str">
        <f>IFERROR(INDEX(DATASET!$G$2:$G$47,MATCH(6,D4_Rank,0)),"")</f>
        <v>690182025</v>
      </c>
      <c r="C15" s="90" t="str">
        <f>IFERROR(INDEX(DATASET!$H$2:$H$47,MATCH(6,D4_Rank,0)),"")</f>
        <v xml:space="preserve">Consulenza fiscale e societaria</v>
      </c>
      <c r="D15" s="90"/>
      <c r="E15" s="90"/>
      <c r="F15" s="90"/>
      <c r="G15" s="90"/>
      <c r="H15" s="91">
        <f>IFERROR(INDEX(DATASET!$I$2:$I$47,MATCH(6,D4_Rank,0)),"")</f>
        <v>24023.639999999999</v>
      </c>
      <c r="I15" s="91"/>
    </row>
    <row r="16" ht="18.75" customHeight="1">
      <c r="B16" s="86" t="str">
        <f>IFERROR(INDEX(DATASET!$G$2:$G$47,MATCH(7,D4_Rank,0)),"")</f>
        <v>690182520</v>
      </c>
      <c r="C16" s="87" t="str">
        <f>IFERROR(INDEX(DATASET!$H$2:$H$47,MATCH(7,D4_Rank,0)),"")</f>
        <v xml:space="preserve">Spese e servizi bancari (non finanziari)</v>
      </c>
      <c r="D16" s="87"/>
      <c r="E16" s="87"/>
      <c r="F16" s="87"/>
      <c r="G16" s="87"/>
      <c r="H16" s="88">
        <f>IFERROR(INDEX(DATASET!$I$2:$I$47,MATCH(7,D4_Rank,0)),"")</f>
        <v>184.25</v>
      </c>
      <c r="I16" s="88"/>
    </row>
    <row r="17" ht="18.75" customHeight="1">
      <c r="B17" s="89" t="str">
        <f>IFERROR(INDEX(DATASET!$G$2:$G$47,MATCH(8,D4_Rank,0)),"")</f>
        <v>690242520</v>
      </c>
      <c r="C17" s="90" t="str">
        <f>IFERROR(INDEX(DATASET!$H$2:$H$47,MATCH(8,D4_Rank,0)),"")</f>
        <v xml:space="preserve">Emolumenti collegio sindacale ded. IRAP</v>
      </c>
      <c r="D17" s="90"/>
      <c r="E17" s="90"/>
      <c r="F17" s="90"/>
      <c r="G17" s="90"/>
      <c r="H17" s="91">
        <f>IFERROR(INDEX(DATASET!$I$2:$I$47,MATCH(8,D4_Rank,0)),"")</f>
        <v>2537.5999999999999</v>
      </c>
      <c r="I17" s="91"/>
    </row>
    <row r="18" ht="18.75" customHeight="1">
      <c r="B18" s="86" t="str">
        <f>IFERROR(INDEX(DATASET!$G$2:$G$47,MATCH(9,D4_Rank,0)),"")</f>
        <v>690243010</v>
      </c>
      <c r="C18" s="87" t="str">
        <f>IFERROR(INDEX(DATASET!$H$2:$H$47,MATCH(9,D4_Rank,0)),"")</f>
        <v xml:space="preserve">Compensi revisione contabile</v>
      </c>
      <c r="D18" s="87"/>
      <c r="E18" s="87"/>
      <c r="F18" s="87"/>
      <c r="G18" s="87"/>
      <c r="H18" s="88">
        <f>IFERROR(INDEX(DATASET!$I$2:$I$47,MATCH(9,D4_Rank,0)),"")</f>
        <v>19975.900000000001</v>
      </c>
      <c r="I18" s="88"/>
    </row>
    <row r="19" ht="18.75" customHeight="1">
      <c r="B19" s="89" t="str">
        <f>IFERROR(INDEX(DATASET!$G$2:$G$47,MATCH(10,D4_Rank,0)),"")</f>
        <v>760101510</v>
      </c>
      <c r="C19" s="90" t="str">
        <f>IFERROR(INDEX(DATASET!$H$2:$H$47,MATCH(10,D4_Rank,0)),"")</f>
        <v xml:space="preserve">Imposta di bollo</v>
      </c>
      <c r="D19" s="90"/>
      <c r="E19" s="90"/>
      <c r="F19" s="90"/>
      <c r="G19" s="90"/>
      <c r="H19" s="91">
        <f>IFERROR(INDEX(DATASET!$I$2:$I$47,MATCH(10,D4_Rank,0)),"")</f>
        <v>100</v>
      </c>
      <c r="I19" s="91"/>
    </row>
    <row r="20" ht="18.75" customHeight="1">
      <c r="B20" s="86" t="str">
        <f>IFERROR(INDEX(DATASET!$G$2:$G$47,MATCH(11,D4_Rank,0)),"")</f>
        <v>760102015</v>
      </c>
      <c r="C20" s="87" t="str">
        <f>IFERROR(INDEX(DATASET!$H$2:$H$47,MATCH(11,D4_Rank,0)),"")</f>
        <v xml:space="preserve">Tassa annuale libri sociali</v>
      </c>
      <c r="D20" s="87"/>
      <c r="E20" s="87"/>
      <c r="F20" s="87"/>
      <c r="G20" s="87"/>
      <c r="H20" s="88">
        <f>IFERROR(INDEX(DATASET!$I$2:$I$47,MATCH(11,D4_Rank,0)),"")</f>
        <v>309.87</v>
      </c>
      <c r="I20" s="88"/>
    </row>
    <row r="21" ht="18.75" customHeight="1">
      <c r="B21" s="89" t="str">
        <f>IFERROR(INDEX(DATASET!$G$2:$G$47,MATCH(12,D4_Rank,0)),"")</f>
        <v>76020015</v>
      </c>
      <c r="C21" s="90" t="str">
        <f>IFERROR(INDEX(DATASET!$H$2:$H$47,MATCH(12,D4_Rank,0)),"")</f>
        <v xml:space="preserve">Spese camerali, catastali e diritti vari</v>
      </c>
      <c r="D21" s="90"/>
      <c r="E21" s="90"/>
      <c r="F21" s="90"/>
      <c r="G21" s="90"/>
      <c r="H21" s="91">
        <f>IFERROR(INDEX(DATASET!$I$2:$I$47,MATCH(12,D4_Rank,0)),"")</f>
        <v>121</v>
      </c>
      <c r="I21" s="91"/>
    </row>
    <row r="22" ht="18.75" customHeight="1">
      <c r="B22" s="86" t="str">
        <f>IFERROR(INDEX(DATASET!$G$2:$G$47,MATCH(13,D4_Rank,0)),"")</f>
        <v>76020040</v>
      </c>
      <c r="C22" s="87" t="str">
        <f>IFERROR(INDEX(DATASET!$H$2:$H$47,MATCH(13,D4_Rank,0)),"")</f>
        <v xml:space="preserve">Abbuoni e arr.pass.non compr.nei ricavi</v>
      </c>
      <c r="D22" s="87"/>
      <c r="E22" s="87"/>
      <c r="F22" s="87"/>
      <c r="G22" s="87"/>
      <c r="H22" s="88">
        <f>IFERROR(INDEX(DATASET!$I$2:$I$47,MATCH(13,D4_Rank,0)),"")</f>
        <v>0.59999999999999998</v>
      </c>
      <c r="I22" s="88"/>
    </row>
    <row r="23" ht="18.75" customHeight="1">
      <c r="B23" s="89" t="str">
        <f>IFERROR(INDEX(DATASET!$G$2:$G$47,MATCH(14,D4_Rank,0)),"")</f>
        <v>90050</v>
      </c>
      <c r="C23" s="90" t="str">
        <f>IFERROR(INDEX(DATASET!$H$2:$H$47,MATCH(14,D4_Rank,0)),"")</f>
        <v xml:space="preserve">Proventi da consolidato</v>
      </c>
      <c r="D23" s="90"/>
      <c r="E23" s="90"/>
      <c r="F23" s="90"/>
      <c r="G23" s="90"/>
      <c r="H23" s="91">
        <f>IFERROR(INDEX(DATASET!$I$2:$I$47,MATCH(14,D4_Rank,0)),"")</f>
        <v>137497</v>
      </c>
      <c r="I23" s="91"/>
    </row>
    <row r="24" ht="18.75" customHeight="1">
      <c r="B24" s="86" t="str">
        <f>IFERROR(INDEX(DATASET!$G$2:$G$47,MATCH(15,D4_Rank,0)),"")</f>
        <v>85015020</v>
      </c>
      <c r="C24" s="87" t="str">
        <f>IFERROR(INDEX(DATASET!$H$2:$H$47,MATCH(15,D4_Rank,0)),"")</f>
        <v xml:space="preserve">Interessi su debiti verso altri</v>
      </c>
      <c r="D24" s="87"/>
      <c r="E24" s="87"/>
      <c r="F24" s="87"/>
      <c r="G24" s="87"/>
      <c r="H24" s="88">
        <f>IFERROR(INDEX(DATASET!$I$2:$I$47,MATCH(15,D4_Rank,0)),"")</f>
        <v>-549776</v>
      </c>
      <c r="I24" s="88"/>
    </row>
    <row r="25" ht="18.75" customHeight="1">
      <c r="B25" s="89" t="str">
        <f>IFERROR(INDEX(DATASET!$G$2:$G$47,MATCH(16,D4_Rank,0)),"")</f>
        <v>85015050</v>
      </c>
      <c r="C25" s="90" t="str">
        <f>IFERROR(INDEX(DATASET!$H$2:$H$47,MATCH(16,D4_Rank,0)),"")</f>
        <v xml:space="preserve">Interessi indeducibili IVA trimestrale</v>
      </c>
      <c r="D25" s="90"/>
      <c r="E25" s="90"/>
      <c r="F25" s="90"/>
      <c r="G25" s="90"/>
      <c r="H25" s="91">
        <f>IFERROR(INDEX(DATASET!$I$2:$I$47,MATCH(16,D4_Rank,0)),"")</f>
        <v>-35.420000000000002</v>
      </c>
      <c r="I25" s="91"/>
    </row>
    <row r="26" ht="18.75" customHeight="1">
      <c r="B26" s="86" t="str">
        <f>IFERROR(INDEX(DATASET!$G$2:$G$47,MATCH(17,D4_Rank,0)),"")</f>
        <v>91010</v>
      </c>
      <c r="C26" s="87" t="str">
        <f>IFERROR(INDEX(DATASET!$H$2:$H$47,MATCH(17,D4_Rank,0)),"")</f>
        <v xml:space="preserve">IRES differita</v>
      </c>
      <c r="D26" s="87"/>
      <c r="E26" s="87"/>
      <c r="F26" s="87"/>
      <c r="G26" s="87"/>
      <c r="H26" s="88">
        <f>IFERROR(INDEX(DATASET!$I$2:$I$47,MATCH(17,D4_Rank,0)),"")</f>
        <v>-13164</v>
      </c>
      <c r="I26" s="88"/>
    </row>
    <row r="27" ht="18.75" customHeight="1">
      <c r="B27" s="89" t="str">
        <f>IFERROR(INDEX(DATASET!$G$2:$G$47,MATCH(18,D4_Rank,0)),"")</f>
        <v>91510</v>
      </c>
      <c r="C27" s="90" t="str">
        <f>IFERROR(INDEX(DATASET!$H$2:$H$47,MATCH(18,D4_Rank,0)),"")</f>
        <v xml:space="preserve">IRES anticipata</v>
      </c>
      <c r="D27" s="90"/>
      <c r="E27" s="90"/>
      <c r="F27" s="90"/>
      <c r="G27" s="90"/>
      <c r="H27" s="91">
        <f>IFERROR(INDEX(DATASET!$I$2:$I$47,MATCH(18,D4_Rank,0)),"")</f>
        <v>-429</v>
      </c>
      <c r="I27" s="91"/>
    </row>
    <row r="28" ht="18.75" customHeight="1">
      <c r="B28" s="86" t="str">
        <f>IFERROR(INDEX(DATASET!$G$2:$G$47,MATCH(19,D4_Rank,0)),"")</f>
        <v>19764</v>
      </c>
      <c r="C28" s="87" t="str">
        <f>IFERROR(INDEX(DATASET!$H$2:$H$47,MATCH(19,D4_Rank,0)),"")</f>
        <v xml:space="preserve">FERRARI MILANO S.R.L.</v>
      </c>
      <c r="D28" s="87"/>
      <c r="E28" s="87"/>
      <c r="F28" s="87"/>
      <c r="G28" s="87"/>
      <c r="H28" s="88">
        <f>IFERROR(INDEX(DATASET!$I$2:$I$47,MATCH(19,D4_Rank,0)),"")</f>
        <v>19457205.629999999</v>
      </c>
      <c r="I28" s="88"/>
    </row>
    <row r="29" ht="18.75" customHeight="1">
      <c r="B29" s="89" t="str">
        <f>IFERROR(INDEX(DATASET!$G$2:$G$47,MATCH(20,D4_Rank,0)),"")</f>
        <v>19764</v>
      </c>
      <c r="C29" s="90" t="str">
        <f>IFERROR(INDEX(DATASET!$H$2:$H$47,MATCH(20,D4_Rank,0)),"")</f>
        <v xml:space="preserve">FERRARI MILANO S.R.L.</v>
      </c>
      <c r="D29" s="90"/>
      <c r="E29" s="90"/>
      <c r="F29" s="90"/>
      <c r="G29" s="90"/>
      <c r="H29" s="91">
        <f>IFERROR(INDEX(DATASET!$I$2:$I$47,MATCH(20,D4_Rank,0)),"")</f>
        <v>1158000</v>
      </c>
      <c r="I29" s="91"/>
    </row>
    <row r="30" ht="18.75" customHeight="1">
      <c r="B30" s="86" t="str">
        <f>IFERROR(INDEX(DATASET!$G$2:$G$47,MATCH(21,D4_Rank,0)),"")</f>
        <v>19764</v>
      </c>
      <c r="C30" s="87" t="str">
        <f>IFERROR(INDEX(DATASET!$H$2:$H$47,MATCH(21,D4_Rank,0)),"")</f>
        <v xml:space="preserve">FERRARI MILANO S.R.L.</v>
      </c>
      <c r="D30" s="87"/>
      <c r="E30" s="87"/>
      <c r="F30" s="87"/>
      <c r="G30" s="87"/>
      <c r="H30" s="88">
        <f>IFERROR(INDEX(DATASET!$I$2:$I$47,MATCH(21,D4_Rank,0)),"")</f>
        <v>81873.800000000003</v>
      </c>
      <c r="I30" s="88"/>
    </row>
    <row r="31" ht="18.75" customHeight="1">
      <c r="B31" s="89" t="str">
        <f>IFERROR(INDEX(DATASET!$G$2:$G$47,MATCH(22,D4_Rank,0)),"")</f>
        <v>32650</v>
      </c>
      <c r="C31" s="90" t="str">
        <f>IFERROR(INDEX(DATASET!$H$2:$H$47,MATCH(22,D4_Rank,0)),"")</f>
        <v xml:space="preserve">STONE ISLAND S.R.L.</v>
      </c>
      <c r="D31" s="90"/>
      <c r="E31" s="90"/>
      <c r="F31" s="90"/>
      <c r="G31" s="90"/>
      <c r="H31" s="91">
        <f>IFERROR(INDEX(DATASET!$I$2:$I$47,MATCH(22,D4_Rank,0)),"")</f>
        <v>8500</v>
      </c>
      <c r="I31" s="91"/>
    </row>
    <row r="32" ht="18.75" customHeight="1">
      <c r="B32" s="86" t="str">
        <f>IFERROR(INDEX(DATASET!$G$2:$G$47,MATCH(23,D4_Rank,0)),"")</f>
        <v>10030100910</v>
      </c>
      <c r="C32" s="87" t="str">
        <f>IFERROR(INDEX(DATASET!$H$2:$H$47,MATCH(23,D4_Rank,0)),"")</f>
        <v xml:space="preserve">IVA in compensazione entro es. succ.</v>
      </c>
      <c r="D32" s="87"/>
      <c r="E32" s="87"/>
      <c r="F32" s="87"/>
      <c r="G32" s="87"/>
      <c r="H32" s="88">
        <f>IFERROR(INDEX(DATASET!$I$2:$I$47,MATCH(23,D4_Rank,0)),"")</f>
        <v>167</v>
      </c>
      <c r="I32" s="88"/>
    </row>
    <row r="33" ht="18.75" customHeight="1">
      <c r="B33" s="89" t="str">
        <f>IFERROR(INDEX(DATASET!$G$2:$G$47,MATCH(24,D4_Rank,0)),"")</f>
        <v>10030100915</v>
      </c>
      <c r="C33" s="90" t="str">
        <f>IFERROR(INDEX(DATASET!$H$2:$H$47,MATCH(24,D4_Rank,0)),"")</f>
        <v xml:space="preserve">IRPEF/IRES in compensaz. entro es.succ.</v>
      </c>
      <c r="D33" s="90"/>
      <c r="E33" s="90"/>
      <c r="F33" s="90"/>
      <c r="G33" s="90"/>
      <c r="H33" s="91">
        <f>IFERROR(INDEX(DATASET!$I$2:$I$47,MATCH(24,D4_Rank,0)),"")</f>
        <v>60907.199999999997</v>
      </c>
      <c r="I33" s="91"/>
    </row>
    <row r="34" ht="18.75" customHeight="1">
      <c r="B34" s="86" t="str">
        <f>IFERROR(INDEX(DATASET!$G$2:$G$47,MATCH(25,D4_Rank,0)),"")</f>
        <v>100301710</v>
      </c>
      <c r="C34" s="87" t="str">
        <f>IFERROR(INDEX(DATASET!$H$2:$H$47,MATCH(25,D4_Rank,0)),"")</f>
        <v xml:space="preserve">IRES per imposte anticipate</v>
      </c>
      <c r="D34" s="87"/>
      <c r="E34" s="87"/>
      <c r="F34" s="87"/>
      <c r="G34" s="87"/>
      <c r="H34" s="88">
        <f>IFERROR(INDEX(DATASET!$I$2:$I$47,MATCH(25,D4_Rank,0)),"")</f>
        <v>5403.04</v>
      </c>
      <c r="I34" s="88"/>
    </row>
    <row r="35" ht="18.75" customHeight="1">
      <c r="B35" s="89" t="str">
        <f>IFERROR(INDEX(DATASET!$G$2:$G$47,MATCH(26,D4_Rank,0)),"")</f>
        <v>1201015</v>
      </c>
      <c r="C35" s="90" t="str">
        <f>IFERROR(INDEX(DATASET!$H$2:$H$47,MATCH(26,D4_Rank,0)),"")</f>
        <v xml:space="preserve">Banca Popolare di Sondrio</v>
      </c>
      <c r="D35" s="90"/>
      <c r="E35" s="90"/>
      <c r="F35" s="90"/>
      <c r="G35" s="90"/>
      <c r="H35" s="91">
        <f>IFERROR(INDEX(DATASET!$I$2:$I$47,MATCH(26,D4_Rank,0)),"")</f>
        <v>23401.290000000001</v>
      </c>
      <c r="I35" s="91"/>
    </row>
    <row r="36" ht="18.75" customHeight="1">
      <c r="B36" s="86" t="str">
        <f>IFERROR(INDEX(DATASET!$G$2:$G$47,MATCH(27,D4_Rank,0)),"")</f>
        <v>17010</v>
      </c>
      <c r="C36" s="87" t="str">
        <f>IFERROR(INDEX(DATASET!$H$2:$H$47,MATCH(27,D4_Rank,0)),"")</f>
        <v xml:space="preserve">Capitale Sociale</v>
      </c>
      <c r="D36" s="87"/>
      <c r="E36" s="87"/>
      <c r="F36" s="87"/>
      <c r="G36" s="87"/>
      <c r="H36" s="88">
        <f>IFERROR(INDEX(DATASET!$I$2:$I$47,MATCH(27,D4_Rank,0)),"")</f>
        <v>10000</v>
      </c>
      <c r="I36" s="88"/>
    </row>
    <row r="37" ht="18.75" customHeight="1">
      <c r="B37" s="89" t="str">
        <f>IFERROR(INDEX(DATASET!$G$2:$G$47,MATCH(28,D4_Rank,0)),"")</f>
        <v>20010</v>
      </c>
      <c r="C37" s="90" t="str">
        <f>IFERROR(INDEX(DATASET!$H$2:$H$47,MATCH(28,D4_Rank,0)),"")</f>
        <v xml:space="preserve">Riserva legale</v>
      </c>
      <c r="D37" s="90"/>
      <c r="E37" s="90"/>
      <c r="F37" s="90"/>
      <c r="G37" s="90"/>
      <c r="H37" s="91">
        <f>IFERROR(INDEX(DATASET!$I$2:$I$47,MATCH(28,D4_Rank,0)),"")</f>
        <v>2000</v>
      </c>
      <c r="I37" s="91"/>
    </row>
    <row r="38" ht="18.75" customHeight="1">
      <c r="B38" s="86" t="str">
        <f>IFERROR(INDEX(DATASET!$G$2:$G$47,MATCH(29,D4_Rank,0)),"")</f>
        <v>23045</v>
      </c>
      <c r="C38" s="87" t="str">
        <f>IFERROR(INDEX(DATASET!$H$2:$H$47,MATCH(29,D4_Rank,0)),"")</f>
        <v xml:space="preserve">Versamenti dei soci c/ futuro aum.cap.</v>
      </c>
      <c r="D38" s="87"/>
      <c r="E38" s="87"/>
      <c r="F38" s="87"/>
      <c r="G38" s="87"/>
      <c r="H38" s="88">
        <f>IFERROR(INDEX(DATASET!$I$2:$I$47,MATCH(29,D4_Rank,0)),"")</f>
        <v>4600000</v>
      </c>
      <c r="I38" s="88"/>
    </row>
    <row r="39" ht="18.75" customHeight="1">
      <c r="B39" s="89" t="str">
        <f>IFERROR(INDEX(DATASET!$G$2:$G$47,MATCH(30,D4_Rank,0)),"")</f>
        <v>24010</v>
      </c>
      <c r="C39" s="90" t="str">
        <f>IFERROR(INDEX(DATASET!$H$2:$H$47,MATCH(30,D4_Rank,0)),"")</f>
        <v xml:space="preserve">Utili esercizi precedenti</v>
      </c>
      <c r="D39" s="90"/>
      <c r="E39" s="90"/>
      <c r="F39" s="90"/>
      <c r="G39" s="90"/>
      <c r="H39" s="91">
        <f>IFERROR(INDEX(DATASET!$I$2:$I$47,MATCH(30,D4_Rank,0)),"")</f>
        <v>3412465.7799999998</v>
      </c>
      <c r="I39" s="91"/>
    </row>
    <row r="40" ht="18.75" customHeight="1">
      <c r="B40" s="86" t="str">
        <f>IFERROR(INDEX(DATASET!$G$2:$G$47,MATCH(31,D4_Rank,0)),"")</f>
        <v>24015</v>
      </c>
      <c r="C40" s="87" t="str">
        <f>IFERROR(INDEX(DATASET!$H$2:$H$47,MATCH(31,D4_Rank,0)),"")</f>
        <v xml:space="preserve">Perdite esercizi precedenti</v>
      </c>
      <c r="D40" s="87"/>
      <c r="E40" s="87"/>
      <c r="F40" s="87"/>
      <c r="G40" s="87"/>
      <c r="H40" s="88">
        <f>IFERROR(INDEX(DATASET!$I$2:$I$47,MATCH(31,D4_Rank,0)),"")</f>
        <v>-301974.53999999998</v>
      </c>
      <c r="I40" s="88"/>
    </row>
    <row r="41" ht="18.75" customHeight="1">
      <c r="B41" s="89" t="str">
        <f>IFERROR(INDEX(DATASET!$G$2:$G$47,MATCH(32,D4_Rank,0)),"")</f>
        <v>27014</v>
      </c>
      <c r="C41" s="90" t="str">
        <f>IFERROR(INDEX(DATASET!$H$2:$H$47,MATCH(32,D4_Rank,0)),"")</f>
        <v xml:space="preserve">F.do imposte differite IRES</v>
      </c>
      <c r="D41" s="90"/>
      <c r="E41" s="90"/>
      <c r="F41" s="90"/>
      <c r="G41" s="90"/>
      <c r="H41" s="91">
        <f>IFERROR(INDEX(DATASET!$I$2:$I$47,MATCH(32,D4_Rank,0)),"")</f>
        <v>13896</v>
      </c>
      <c r="I41" s="91"/>
    </row>
    <row r="42" ht="18.75" customHeight="1">
      <c r="B42" s="86" t="str">
        <f>IFERROR(INDEX(DATASET!$G$2:$G$47,MATCH(33,D4_Rank,0)),"")</f>
        <v>3701512</v>
      </c>
      <c r="C42" s="87" t="str">
        <f>IFERROR(INDEX(DATASET!$H$2:$H$47,MATCH(33,D4_Rank,0)),"")</f>
        <v xml:space="preserve">Finanziamenti fruttiferi oltre esercizio</v>
      </c>
      <c r="D42" s="87"/>
      <c r="E42" s="87"/>
      <c r="F42" s="87"/>
      <c r="G42" s="87"/>
      <c r="H42" s="88">
        <f>IFERROR(INDEX(DATASET!$I$2:$I$47,MATCH(33,D4_Rank,0)),"")</f>
        <v>1600000</v>
      </c>
      <c r="I42" s="88"/>
    </row>
    <row r="43" ht="18.75" customHeight="1">
      <c r="B43" s="89" t="str">
        <f>IFERROR(INDEX(DATASET!$G$2:$G$47,MATCH(34,D4_Rank,0)),"")</f>
        <v>3701550</v>
      </c>
      <c r="C43" s="90" t="str">
        <f>IFERROR(INDEX(DATASET!$H$2:$H$47,MATCH(34,D4_Rank,0)),"")</f>
        <v xml:space="preserve">Finanz. fruttiferi CB CAPITAL</v>
      </c>
      <c r="D43" s="90"/>
      <c r="E43" s="90"/>
      <c r="F43" s="90"/>
      <c r="G43" s="90"/>
      <c r="H43" s="91">
        <f>IFERROR(INDEX(DATASET!$I$2:$I$47,MATCH(34,D4_Rank,0)),"")</f>
        <v>10000000</v>
      </c>
      <c r="I43" s="91"/>
    </row>
    <row r="44" ht="18.75" customHeight="1">
      <c r="B44" s="86" t="str">
        <f>IFERROR(INDEX(DATASET!$G$2:$G$47,MATCH(35,D4_Rank,0)),"")</f>
        <v>7870</v>
      </c>
      <c r="C44" s="87" t="str">
        <f>IFERROR(INDEX(DATASET!$H$2:$H$47,MATCH(35,D4_Rank,0)),"")</f>
        <v xml:space="preserve">ACME  ITALIA S.P.A.</v>
      </c>
      <c r="D44" s="87"/>
      <c r="E44" s="87"/>
      <c r="F44" s="87"/>
      <c r="G44" s="87"/>
      <c r="H44" s="88">
        <f>IFERROR(INDEX(DATASET!$I$2:$I$47,MATCH(35,D4_Rank,0)),"")</f>
        <v>8780.3400000000001</v>
      </c>
      <c r="I44" s="88"/>
    </row>
    <row r="45" ht="18.75" customHeight="1">
      <c r="B45" s="89" t="str">
        <f>IFERROR(INDEX(DATASET!$G$2:$G$47,MATCH(36,D4_Rank,0)),"")</f>
        <v>7870</v>
      </c>
      <c r="C45" s="90" t="str">
        <f>IFERROR(INDEX(DATASET!$H$2:$H$47,MATCH(36,D4_Rank,0)),"")</f>
        <v xml:space="preserve">ACMEITALIA S.P.A.</v>
      </c>
      <c r="D45" s="90"/>
      <c r="E45" s="90"/>
      <c r="F45" s="90"/>
      <c r="G45" s="90"/>
      <c r="H45" s="91">
        <f>IFERROR(INDEX(DATASET!$I$2:$I$47,MATCH(36,D4_Rank,0)),"")</f>
        <v>10500</v>
      </c>
      <c r="I45" s="91"/>
    </row>
    <row r="46" ht="18.75" customHeight="1">
      <c r="B46" s="86" t="str">
        <f>IFERROR(INDEX(DATASET!$G$2:$G$47,MATCH(37,D4_Rank,0)),"")</f>
        <v>399</v>
      </c>
      <c r="C46" s="87" t="str">
        <f>IFERROR(INDEX(DATASET!$H$2:$H$47,MATCH(37,D4_Rank,0)),"")</f>
        <v xml:space="preserve">Sam Sonic SPA</v>
      </c>
      <c r="D46" s="87"/>
      <c r="E46" s="87"/>
      <c r="F46" s="87"/>
      <c r="G46" s="87"/>
      <c r="H46" s="88">
        <f>IFERROR(INDEX(DATASET!$I$2:$I$47,MATCH(37,D4_Rank,0)),"")</f>
        <v>87776</v>
      </c>
      <c r="I46" s="88"/>
    </row>
    <row r="47" ht="18.75" customHeight="1">
      <c r="B47" s="89" t="str">
        <f>IFERROR(INDEX(DATASET!$G$2:$G$47,MATCH(38,D4_Rank,0)),"")</f>
        <v>1062</v>
      </c>
      <c r="C47" s="90" t="str">
        <f>IFERROR(INDEX(DATASET!$H$2:$H$47,MATCH(38,D4_Rank,0)),"")</f>
        <v>PWC</v>
      </c>
      <c r="D47" s="90"/>
      <c r="E47" s="90"/>
      <c r="F47" s="90"/>
      <c r="G47" s="90"/>
      <c r="H47" s="91">
        <f>IFERROR(INDEX(DATASET!$I$2:$I$47,MATCH(38,D4_Rank,0)),"")</f>
        <v>26561.240000000002</v>
      </c>
      <c r="I47" s="91"/>
    </row>
    <row r="48" ht="18.75" customHeight="1">
      <c r="B48" s="86" t="str">
        <f>IFERROR(INDEX(DATASET!$G$2:$G$47,MATCH(39,D4_Rank,0)),"")</f>
        <v>460101010</v>
      </c>
      <c r="C48" s="87" t="str">
        <f>IFERROR(INDEX(DATASET!$H$2:$H$47,MATCH(39,D4_Rank,0)),"")</f>
        <v xml:space="preserve">Soci/azionisti c.to dividendi</v>
      </c>
      <c r="D48" s="87"/>
      <c r="E48" s="87"/>
      <c r="F48" s="87"/>
      <c r="G48" s="87"/>
      <c r="H48" s="88">
        <f>IFERROR(INDEX(DATASET!$I$2:$I$47,MATCH(39,D4_Rank,0)),"")</f>
        <v>1802500</v>
      </c>
      <c r="I48" s="88"/>
    </row>
    <row r="49" ht="18.75" customHeight="1">
      <c r="B49" s="89" t="str">
        <f>IFERROR(INDEX(DATASET!$G$2:$G$47,MATCH(40,D4_Rank,0)),"")</f>
        <v>460102552</v>
      </c>
      <c r="C49" s="90" t="str">
        <f>IFERROR(INDEX(DATASET!$H$2:$H$47,MATCH(40,D4_Rank,0)),"")</f>
        <v xml:space="preserve">Debiti cons.fiscale Stone srl</v>
      </c>
      <c r="D49" s="90"/>
      <c r="E49" s="90"/>
      <c r="F49" s="90"/>
      <c r="G49" s="90"/>
      <c r="H49" s="91">
        <f>IFERROR(INDEX(DATASET!$I$2:$I$47,MATCH(40,D4_Rank,0)),"")</f>
        <v>1442.2</v>
      </c>
      <c r="I49" s="91"/>
    </row>
    <row r="50" ht="24" customHeight="1">
      <c r="B50" s="92" t="s">
        <v>12</v>
      </c>
      <c r="C50" s="92"/>
      <c r="D50" s="92"/>
      <c r="E50" s="92"/>
      <c r="F50" s="92"/>
      <c r="G50" s="92"/>
      <c r="H50" s="93">
        <f>SUMPRODUCT(D4_Flag*DATASET!$I$2:$I$47)</f>
        <v>41943266.74000001</v>
      </c>
      <c r="I50" s="93"/>
    </row>
    <row r="52">
      <c r="B52" s="94" t="s">
        <v>30</v>
      </c>
      <c r="C52" s="94"/>
      <c r="D52" s="94"/>
      <c r="E52" s="94"/>
      <c r="F52" s="94"/>
      <c r="G52" s="94"/>
      <c r="H52" s="94"/>
    </row>
  </sheetData>
  <mergeCells count="92">
    <mergeCell ref="B50:G50"/>
    <mergeCell ref="H50:I50"/>
    <mergeCell ref="B52:H52"/>
    <mergeCell ref="C47:G47"/>
    <mergeCell ref="H47:I47"/>
    <mergeCell ref="C48:G48"/>
    <mergeCell ref="H48:I48"/>
    <mergeCell ref="C49:G49"/>
    <mergeCell ref="H49:I49"/>
    <mergeCell ref="C44:G44"/>
    <mergeCell ref="H44:I44"/>
    <mergeCell ref="C45:G45"/>
    <mergeCell ref="H45:I45"/>
    <mergeCell ref="C46:G46"/>
    <mergeCell ref="H46:I46"/>
    <mergeCell ref="C41:G41"/>
    <mergeCell ref="H41:I41"/>
    <mergeCell ref="C42:G42"/>
    <mergeCell ref="H42:I42"/>
    <mergeCell ref="C43:G43"/>
    <mergeCell ref="H43:I43"/>
    <mergeCell ref="C38:G38"/>
    <mergeCell ref="H38:I38"/>
    <mergeCell ref="C39:G39"/>
    <mergeCell ref="H39:I39"/>
    <mergeCell ref="C40:G40"/>
    <mergeCell ref="H40:I40"/>
    <mergeCell ref="C35:G35"/>
    <mergeCell ref="H35:I35"/>
    <mergeCell ref="C36:G36"/>
    <mergeCell ref="H36:I36"/>
    <mergeCell ref="C37:G37"/>
    <mergeCell ref="H37:I37"/>
    <mergeCell ref="C32:G32"/>
    <mergeCell ref="H32:I32"/>
    <mergeCell ref="C33:G33"/>
    <mergeCell ref="H33:I33"/>
    <mergeCell ref="C34:G34"/>
    <mergeCell ref="H34:I34"/>
    <mergeCell ref="C29:G29"/>
    <mergeCell ref="H29:I29"/>
    <mergeCell ref="C30:G30"/>
    <mergeCell ref="H30:I30"/>
    <mergeCell ref="C31:G31"/>
    <mergeCell ref="H31:I31"/>
    <mergeCell ref="C26:G26"/>
    <mergeCell ref="H26:I26"/>
    <mergeCell ref="C27:G27"/>
    <mergeCell ref="H27:I27"/>
    <mergeCell ref="C28:G28"/>
    <mergeCell ref="H28:I28"/>
    <mergeCell ref="C23:G23"/>
    <mergeCell ref="H23:I23"/>
    <mergeCell ref="C24:G24"/>
    <mergeCell ref="H24:I24"/>
    <mergeCell ref="C25:G25"/>
    <mergeCell ref="H25:I25"/>
    <mergeCell ref="C20:G20"/>
    <mergeCell ref="H20:I20"/>
    <mergeCell ref="C21:G21"/>
    <mergeCell ref="H21:I21"/>
    <mergeCell ref="C22:G22"/>
    <mergeCell ref="H22:I22"/>
    <mergeCell ref="C17:G17"/>
    <mergeCell ref="H17:I17"/>
    <mergeCell ref="C18:G18"/>
    <mergeCell ref="H18:I18"/>
    <mergeCell ref="C19:G19"/>
    <mergeCell ref="H19:I19"/>
    <mergeCell ref="C14:G14"/>
    <mergeCell ref="H14:I14"/>
    <mergeCell ref="C15:G15"/>
    <mergeCell ref="H15:I15"/>
    <mergeCell ref="C16:G16"/>
    <mergeCell ref="H16:I16"/>
    <mergeCell ref="C11:G11"/>
    <mergeCell ref="H11:I11"/>
    <mergeCell ref="C12:G12"/>
    <mergeCell ref="H12:I12"/>
    <mergeCell ref="C13:G13"/>
    <mergeCell ref="H13:I13"/>
    <mergeCell ref="H6:I6"/>
    <mergeCell ref="E7:G7"/>
    <mergeCell ref="C9:G9"/>
    <mergeCell ref="H9:I9"/>
    <mergeCell ref="C10:G10"/>
    <mergeCell ref="H10:I10"/>
    <mergeCell ref="B2:I2"/>
    <mergeCell ref="B4:C4"/>
    <mergeCell ref="D4:E4"/>
    <mergeCell ref="F4:G4"/>
    <mergeCell ref="H4:I4"/>
  </mergeCells>
  <printOptions headings="0" gridLines="0"/>
  <pageMargins left="0.29999999999999999" right="0.29999999999999999" top="0.40000000000000008" bottom="0.40000000000000008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D6CC4CCB-AE95-4A08-89BE-8BC609FE2E09}" type="list" allowBlank="1" errorStyle="stop" imeMode="noControl" operator="between" showDropDown="0" showErrorMessage="0" showInputMessage="0">
          <x14:formula1>
            <xm:f>MacroOpts</xm:f>
          </x14:formula1>
          <x14:formula2>
            <xm:f>0</xm:f>
          </x14:formula2>
          <xm:sqref>B4</xm:sqref>
        </x14:dataValidation>
        <x14:dataValidation xr:uid="{882C358D-2FFE-4B4D-9E42-A17332956D32}" type="list" allowBlank="1" errorStyle="stop" imeMode="noControl" operator="between" showDropDown="0" showErrorMessage="0" showInputMessage="0">
          <x14:formula1>
            <xm:f>D4_SubOpts</xm:f>
          </x14:formula1>
          <x14:formula2>
            <xm:f>0</xm:f>
          </x14:formula2>
          <xm:sqref>D4</xm:sqref>
        </x14:dataValidation>
        <x14:dataValidation xr:uid="{69A59CE0-1417-491A-8205-C5799803149D}" type="list" allowBlank="1" errorStyle="stop" imeMode="noControl" operator="between" showDropDown="0" showErrorMessage="0" showInputMessage="0">
          <x14:formula1>
            <xm:f>D4_ItemOpts</xm:f>
          </x14:formula1>
          <x14:formula2>
            <xm:f>0</xm:f>
          </x14:formula2>
          <xm:sqref>F4</xm:sqref>
        </x14:dataValidation>
        <x14:dataValidation xr:uid="{9AFC9296-F3F5-41A3-9F7C-2FDFFEC625B9}" type="list" allowBlank="1" errorStyle="stop" imeMode="noControl" operator="between" showDropDown="0" showErrorMessage="0" showInputMessage="0">
          <x14:formula1>
            <xm:f>D4_SitOpts</xm:f>
          </x14:formula1>
          <x14:formula2>
            <xm:f>0</xm:f>
          </x14:formula2>
          <xm:sqref>H4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C1" zoomScale="100" workbookViewId="0">
      <pane ySplit="1" topLeftCell="A2" activePane="bottomLeft" state="frozen"/>
      <selection activeCell="D27" activeCellId="0" sqref="D27"/>
    </sheetView>
  </sheetViews>
  <sheetFormatPr baseColWidth="10" defaultColWidth="8.83203125" defaultRowHeight="15"/>
  <cols>
    <col customWidth="1" min="1" max="1" width="7"/>
    <col customWidth="1" min="2" max="2" width="8"/>
    <col customWidth="1" min="3" max="5" width="34"/>
    <col customWidth="1" min="6" max="6" width="20"/>
    <col customWidth="1" min="7" max="7" width="13"/>
    <col customWidth="1" min="8" max="8" width="34"/>
    <col customWidth="1" min="9" max="9" width="16"/>
  </cols>
  <sheetData>
    <row r="1" s="95" customFormat="1" ht="19.5" customHeight="1">
      <c r="A1" s="96" t="s">
        <v>31</v>
      </c>
      <c r="B1" s="96" t="s">
        <v>32</v>
      </c>
      <c r="C1" s="96" t="s">
        <v>24</v>
      </c>
      <c r="D1" s="96" t="s">
        <v>25</v>
      </c>
      <c r="E1" s="96" t="s">
        <v>26</v>
      </c>
      <c r="F1" s="96" t="s">
        <v>27</v>
      </c>
      <c r="G1" s="96" t="s">
        <v>9</v>
      </c>
      <c r="H1" s="96" t="s">
        <v>10</v>
      </c>
      <c r="I1" s="96" t="s">
        <v>33</v>
      </c>
    </row>
    <row r="2" ht="15.75" customHeight="1">
      <c r="A2" s="97" t="s">
        <v>34</v>
      </c>
      <c r="B2" s="97" t="s">
        <v>35</v>
      </c>
      <c r="C2" s="97" t="s">
        <v>36</v>
      </c>
      <c r="D2" s="97" t="s">
        <v>37</v>
      </c>
      <c r="E2" s="97"/>
      <c r="F2" s="97"/>
      <c r="G2" s="98" t="s">
        <v>38</v>
      </c>
      <c r="H2" s="97" t="s">
        <v>39</v>
      </c>
      <c r="I2" s="99">
        <v>110000</v>
      </c>
    </row>
    <row r="3" ht="15.75" customHeight="1">
      <c r="A3" s="100" t="s">
        <v>34</v>
      </c>
      <c r="B3" s="100" t="s">
        <v>35</v>
      </c>
      <c r="C3" s="100" t="s">
        <v>36</v>
      </c>
      <c r="D3" s="100" t="s">
        <v>40</v>
      </c>
      <c r="E3" s="100"/>
      <c r="F3" s="100"/>
      <c r="G3" s="101" t="s">
        <v>41</v>
      </c>
      <c r="H3" s="100" t="s">
        <v>42</v>
      </c>
      <c r="I3" s="102">
        <v>0.77000000000000002</v>
      </c>
    </row>
    <row r="4" ht="15.75" customHeight="1">
      <c r="A4" s="97" t="s">
        <v>34</v>
      </c>
      <c r="B4" s="97" t="s">
        <v>43</v>
      </c>
      <c r="C4" s="97" t="s">
        <v>44</v>
      </c>
      <c r="D4" s="97" t="s">
        <v>45</v>
      </c>
      <c r="E4" s="97"/>
      <c r="F4" s="97"/>
      <c r="G4" s="98" t="s">
        <v>46</v>
      </c>
      <c r="H4" s="97" t="s">
        <v>47</v>
      </c>
      <c r="I4" s="99">
        <v>136994.78</v>
      </c>
    </row>
    <row r="5" ht="15.75" customHeight="1">
      <c r="A5" s="100" t="s">
        <v>34</v>
      </c>
      <c r="B5" s="100" t="s">
        <v>43</v>
      </c>
      <c r="C5" s="100" t="s">
        <v>44</v>
      </c>
      <c r="D5" s="100" t="s">
        <v>45</v>
      </c>
      <c r="E5" s="100"/>
      <c r="F5" s="100"/>
      <c r="G5" s="101" t="s">
        <v>48</v>
      </c>
      <c r="H5" s="100" t="s">
        <v>49</v>
      </c>
      <c r="I5" s="102">
        <v>5367.0200000000004</v>
      </c>
    </row>
    <row r="6" ht="15.75" customHeight="1">
      <c r="A6" s="97" t="s">
        <v>34</v>
      </c>
      <c r="B6" s="97" t="s">
        <v>43</v>
      </c>
      <c r="C6" s="97" t="s">
        <v>44</v>
      </c>
      <c r="D6" s="97" t="s">
        <v>45</v>
      </c>
      <c r="E6" s="97"/>
      <c r="F6" s="97"/>
      <c r="G6" s="98" t="s">
        <v>50</v>
      </c>
      <c r="H6" s="97" t="s">
        <v>51</v>
      </c>
      <c r="I6" s="99">
        <v>153.75</v>
      </c>
    </row>
    <row r="7" ht="15.75" customHeight="1">
      <c r="A7" s="100" t="s">
        <v>34</v>
      </c>
      <c r="B7" s="100" t="s">
        <v>43</v>
      </c>
      <c r="C7" s="100" t="s">
        <v>44</v>
      </c>
      <c r="D7" s="100" t="s">
        <v>45</v>
      </c>
      <c r="E7" s="100"/>
      <c r="F7" s="100"/>
      <c r="G7" s="101" t="s">
        <v>52</v>
      </c>
      <c r="H7" s="100" t="s">
        <v>53</v>
      </c>
      <c r="I7" s="102">
        <v>24023.639999999999</v>
      </c>
    </row>
    <row r="8" ht="15.75" customHeight="1">
      <c r="A8" s="97" t="s">
        <v>34</v>
      </c>
      <c r="B8" s="97" t="s">
        <v>43</v>
      </c>
      <c r="C8" s="97" t="s">
        <v>44</v>
      </c>
      <c r="D8" s="97" t="s">
        <v>45</v>
      </c>
      <c r="E8" s="97"/>
      <c r="F8" s="97"/>
      <c r="G8" s="98" t="s">
        <v>54</v>
      </c>
      <c r="H8" s="97" t="s">
        <v>55</v>
      </c>
      <c r="I8" s="99">
        <v>184.25</v>
      </c>
    </row>
    <row r="9" ht="15.75" customHeight="1">
      <c r="A9" s="100" t="s">
        <v>34</v>
      </c>
      <c r="B9" s="100" t="s">
        <v>43</v>
      </c>
      <c r="C9" s="100" t="s">
        <v>44</v>
      </c>
      <c r="D9" s="100" t="s">
        <v>45</v>
      </c>
      <c r="E9" s="100"/>
      <c r="F9" s="100"/>
      <c r="G9" s="101" t="s">
        <v>56</v>
      </c>
      <c r="H9" s="100" t="s">
        <v>57</v>
      </c>
      <c r="I9" s="102">
        <v>2537.5999999999999</v>
      </c>
    </row>
    <row r="10" ht="15.75" customHeight="1">
      <c r="A10" s="97" t="s">
        <v>34</v>
      </c>
      <c r="B10" s="97" t="s">
        <v>43</v>
      </c>
      <c r="C10" s="97" t="s">
        <v>44</v>
      </c>
      <c r="D10" s="97" t="s">
        <v>45</v>
      </c>
      <c r="E10" s="97"/>
      <c r="F10" s="97"/>
      <c r="G10" s="98" t="s">
        <v>58</v>
      </c>
      <c r="H10" s="97" t="s">
        <v>59</v>
      </c>
      <c r="I10" s="99">
        <v>19975.900000000001</v>
      </c>
    </row>
    <row r="11" ht="15.75" customHeight="1">
      <c r="A11" s="100" t="s">
        <v>34</v>
      </c>
      <c r="B11" s="100" t="s">
        <v>43</v>
      </c>
      <c r="C11" s="100" t="s">
        <v>44</v>
      </c>
      <c r="D11" s="100" t="s">
        <v>60</v>
      </c>
      <c r="E11" s="100"/>
      <c r="F11" s="100"/>
      <c r="G11" s="101" t="s">
        <v>61</v>
      </c>
      <c r="H11" s="100" t="s">
        <v>62</v>
      </c>
      <c r="I11" s="102">
        <v>100</v>
      </c>
    </row>
    <row r="12" ht="15.75" customHeight="1">
      <c r="A12" s="97" t="s">
        <v>34</v>
      </c>
      <c r="B12" s="97" t="s">
        <v>43</v>
      </c>
      <c r="C12" s="97" t="s">
        <v>44</v>
      </c>
      <c r="D12" s="97" t="s">
        <v>60</v>
      </c>
      <c r="E12" s="97"/>
      <c r="F12" s="97"/>
      <c r="G12" s="98" t="s">
        <v>63</v>
      </c>
      <c r="H12" s="97" t="s">
        <v>64</v>
      </c>
      <c r="I12" s="99">
        <v>309.87</v>
      </c>
    </row>
    <row r="13" ht="15.75" customHeight="1">
      <c r="A13" s="100" t="s">
        <v>34</v>
      </c>
      <c r="B13" s="100" t="s">
        <v>43</v>
      </c>
      <c r="C13" s="100" t="s">
        <v>44</v>
      </c>
      <c r="D13" s="100" t="s">
        <v>60</v>
      </c>
      <c r="E13" s="100"/>
      <c r="F13" s="100"/>
      <c r="G13" s="101" t="s">
        <v>65</v>
      </c>
      <c r="H13" s="100" t="s">
        <v>66</v>
      </c>
      <c r="I13" s="102">
        <v>121</v>
      </c>
    </row>
    <row r="14" ht="15.75" customHeight="1">
      <c r="A14" s="97" t="s">
        <v>34</v>
      </c>
      <c r="B14" s="97" t="s">
        <v>43</v>
      </c>
      <c r="C14" s="97" t="s">
        <v>44</v>
      </c>
      <c r="D14" s="97" t="s">
        <v>60</v>
      </c>
      <c r="E14" s="97"/>
      <c r="F14" s="97"/>
      <c r="G14" s="98" t="s">
        <v>67</v>
      </c>
      <c r="H14" s="97" t="s">
        <v>68</v>
      </c>
      <c r="I14" s="99">
        <v>0.59999999999999998</v>
      </c>
    </row>
    <row r="15" ht="15.75" customHeight="1">
      <c r="A15" s="100" t="s">
        <v>34</v>
      </c>
      <c r="B15" s="100" t="s">
        <v>69</v>
      </c>
      <c r="C15" s="100" t="s">
        <v>70</v>
      </c>
      <c r="D15" s="100" t="s">
        <v>71</v>
      </c>
      <c r="E15" s="100" t="s">
        <v>72</v>
      </c>
      <c r="F15" s="100"/>
      <c r="G15" s="101" t="s">
        <v>73</v>
      </c>
      <c r="H15" s="100" t="s">
        <v>74</v>
      </c>
      <c r="I15" s="102">
        <v>137497</v>
      </c>
    </row>
    <row r="16" ht="15.75" customHeight="1">
      <c r="A16" s="97" t="s">
        <v>34</v>
      </c>
      <c r="B16" s="97" t="s">
        <v>69</v>
      </c>
      <c r="C16" s="97" t="s">
        <v>70</v>
      </c>
      <c r="D16" s="97" t="s">
        <v>75</v>
      </c>
      <c r="E16" s="97"/>
      <c r="F16" s="97"/>
      <c r="G16" s="98" t="s">
        <v>76</v>
      </c>
      <c r="H16" s="97" t="s">
        <v>77</v>
      </c>
      <c r="I16" s="99">
        <v>-549776</v>
      </c>
    </row>
    <row r="17" ht="15.75" customHeight="1">
      <c r="A17" s="100" t="s">
        <v>34</v>
      </c>
      <c r="B17" s="100" t="s">
        <v>69</v>
      </c>
      <c r="C17" s="100" t="s">
        <v>70</v>
      </c>
      <c r="D17" s="100" t="s">
        <v>75</v>
      </c>
      <c r="E17" s="100"/>
      <c r="F17" s="100"/>
      <c r="G17" s="101" t="s">
        <v>78</v>
      </c>
      <c r="H17" s="100" t="s">
        <v>79</v>
      </c>
      <c r="I17" s="102">
        <v>-35.420000000000002</v>
      </c>
    </row>
    <row r="18" ht="15.75" customHeight="1">
      <c r="A18" s="97" t="s">
        <v>34</v>
      </c>
      <c r="B18" s="97" t="s">
        <v>80</v>
      </c>
      <c r="C18" s="97" t="s">
        <v>81</v>
      </c>
      <c r="D18" s="97" t="s">
        <v>82</v>
      </c>
      <c r="E18" s="97"/>
      <c r="F18" s="97"/>
      <c r="G18" s="98" t="s">
        <v>83</v>
      </c>
      <c r="H18" s="97" t="s">
        <v>84</v>
      </c>
      <c r="I18" s="99">
        <v>-13164</v>
      </c>
    </row>
    <row r="19" ht="15.75" customHeight="1">
      <c r="A19" s="100" t="s">
        <v>34</v>
      </c>
      <c r="B19" s="100" t="s">
        <v>80</v>
      </c>
      <c r="C19" s="100" t="s">
        <v>81</v>
      </c>
      <c r="D19" s="100" t="s">
        <v>82</v>
      </c>
      <c r="E19" s="100"/>
      <c r="F19" s="100"/>
      <c r="G19" s="101" t="s">
        <v>85</v>
      </c>
      <c r="H19" s="100" t="s">
        <v>86</v>
      </c>
      <c r="I19" s="102">
        <v>-429</v>
      </c>
    </row>
    <row r="20" ht="15.75" customHeight="1">
      <c r="A20" s="97" t="s">
        <v>34</v>
      </c>
      <c r="B20" s="97" t="s">
        <v>87</v>
      </c>
      <c r="C20" s="97" t="s">
        <v>88</v>
      </c>
      <c r="D20" s="97"/>
      <c r="E20" s="97"/>
      <c r="F20" s="97"/>
      <c r="G20" s="98"/>
      <c r="H20" s="97"/>
      <c r="I20" s="99">
        <v>-79767.639999999999</v>
      </c>
    </row>
    <row r="21" ht="15.75" customHeight="1">
      <c r="A21" s="100" t="s">
        <v>34</v>
      </c>
      <c r="B21" s="100" t="s">
        <v>89</v>
      </c>
      <c r="C21" s="100" t="s">
        <v>90</v>
      </c>
      <c r="D21" s="100"/>
      <c r="E21" s="100"/>
      <c r="F21" s="100"/>
      <c r="G21" s="101"/>
      <c r="H21" s="100"/>
      <c r="I21" s="102">
        <v>-478489.06</v>
      </c>
    </row>
    <row r="22" ht="15.75" customHeight="1">
      <c r="A22" s="97" t="s">
        <v>34</v>
      </c>
      <c r="B22" s="97" t="s">
        <v>91</v>
      </c>
      <c r="C22" s="97" t="s">
        <v>92</v>
      </c>
      <c r="D22" s="97"/>
      <c r="E22" s="97"/>
      <c r="F22" s="97"/>
      <c r="G22" s="98"/>
      <c r="H22" s="97"/>
      <c r="I22" s="99">
        <v>-492082.06</v>
      </c>
    </row>
    <row r="23" ht="15.75" customHeight="1">
      <c r="A23" s="100" t="s">
        <v>93</v>
      </c>
      <c r="B23" s="100" t="s">
        <v>94</v>
      </c>
      <c r="C23" s="100" t="s">
        <v>6</v>
      </c>
      <c r="D23" s="100" t="s">
        <v>95</v>
      </c>
      <c r="E23" s="100" t="s">
        <v>96</v>
      </c>
      <c r="F23" s="100"/>
      <c r="G23" s="101" t="s">
        <v>97</v>
      </c>
      <c r="H23" s="100" t="s">
        <v>98</v>
      </c>
      <c r="I23" s="102">
        <v>19457205.629999999</v>
      </c>
    </row>
    <row r="24" ht="15.75" customHeight="1">
      <c r="A24" s="97" t="s">
        <v>93</v>
      </c>
      <c r="B24" s="97" t="s">
        <v>94</v>
      </c>
      <c r="C24" s="97" t="s">
        <v>6</v>
      </c>
      <c r="D24" s="97" t="s">
        <v>95</v>
      </c>
      <c r="E24" s="97" t="s">
        <v>96</v>
      </c>
      <c r="F24" s="97"/>
      <c r="G24" s="98" t="s">
        <v>97</v>
      </c>
      <c r="H24" s="97" t="s">
        <v>98</v>
      </c>
      <c r="I24" s="99">
        <v>1158000</v>
      </c>
    </row>
    <row r="25" ht="15.75" customHeight="1">
      <c r="A25" s="100" t="s">
        <v>93</v>
      </c>
      <c r="B25" s="100" t="s">
        <v>94</v>
      </c>
      <c r="C25" s="100" t="s">
        <v>6</v>
      </c>
      <c r="D25" s="100" t="s">
        <v>95</v>
      </c>
      <c r="E25" s="100" t="s">
        <v>96</v>
      </c>
      <c r="F25" s="100"/>
      <c r="G25" s="101" t="s">
        <v>97</v>
      </c>
      <c r="H25" s="100" t="s">
        <v>98</v>
      </c>
      <c r="I25" s="102">
        <v>81873.800000000003</v>
      </c>
    </row>
    <row r="26" ht="15.75" customHeight="1">
      <c r="A26" s="97" t="s">
        <v>93</v>
      </c>
      <c r="B26" s="97" t="s">
        <v>94</v>
      </c>
      <c r="C26" s="97" t="s">
        <v>6</v>
      </c>
      <c r="D26" s="97" t="s">
        <v>95</v>
      </c>
      <c r="E26" s="97" t="s">
        <v>99</v>
      </c>
      <c r="F26" s="97"/>
      <c r="G26" s="98" t="s">
        <v>100</v>
      </c>
      <c r="H26" s="97" t="s">
        <v>101</v>
      </c>
      <c r="I26" s="99">
        <v>8500</v>
      </c>
    </row>
    <row r="27" ht="15.75" customHeight="1">
      <c r="A27" s="100" t="s">
        <v>93</v>
      </c>
      <c r="B27" s="100" t="s">
        <v>94</v>
      </c>
      <c r="C27" s="100" t="s">
        <v>6</v>
      </c>
      <c r="D27" s="100" t="s">
        <v>95</v>
      </c>
      <c r="E27" s="100" t="s">
        <v>102</v>
      </c>
      <c r="F27" s="100"/>
      <c r="G27" s="101" t="s">
        <v>103</v>
      </c>
      <c r="H27" s="100" t="s">
        <v>104</v>
      </c>
      <c r="I27" s="102">
        <v>167</v>
      </c>
    </row>
    <row r="28" ht="15.75" customHeight="1">
      <c r="A28" s="97" t="s">
        <v>93</v>
      </c>
      <c r="B28" s="97" t="s">
        <v>94</v>
      </c>
      <c r="C28" s="97" t="s">
        <v>6</v>
      </c>
      <c r="D28" s="97" t="s">
        <v>95</v>
      </c>
      <c r="E28" s="97" t="s">
        <v>102</v>
      </c>
      <c r="F28" s="97"/>
      <c r="G28" s="98" t="s">
        <v>105</v>
      </c>
      <c r="H28" s="97" t="s">
        <v>106</v>
      </c>
      <c r="I28" s="99">
        <v>60907.199999999997</v>
      </c>
    </row>
    <row r="29" ht="15.75" customHeight="1">
      <c r="A29" s="100" t="s">
        <v>93</v>
      </c>
      <c r="B29" s="100" t="s">
        <v>94</v>
      </c>
      <c r="C29" s="100" t="s">
        <v>6</v>
      </c>
      <c r="D29" s="100" t="s">
        <v>95</v>
      </c>
      <c r="E29" s="100" t="s">
        <v>107</v>
      </c>
      <c r="F29" s="100"/>
      <c r="G29" s="101" t="s">
        <v>108</v>
      </c>
      <c r="H29" s="100" t="s">
        <v>109</v>
      </c>
      <c r="I29" s="102">
        <v>5403.04</v>
      </c>
    </row>
    <row r="30" ht="15.75" customHeight="1">
      <c r="A30" s="97" t="s">
        <v>93</v>
      </c>
      <c r="B30" s="97" t="s">
        <v>94</v>
      </c>
      <c r="C30" s="97" t="s">
        <v>6</v>
      </c>
      <c r="D30" s="97" t="s">
        <v>110</v>
      </c>
      <c r="E30" s="97" t="s">
        <v>111</v>
      </c>
      <c r="F30" s="97"/>
      <c r="G30" s="98" t="s">
        <v>112</v>
      </c>
      <c r="H30" s="97" t="s">
        <v>113</v>
      </c>
      <c r="I30" s="99">
        <v>23401.290000000001</v>
      </c>
    </row>
    <row r="31" ht="15.75" customHeight="1">
      <c r="A31" s="100" t="s">
        <v>93</v>
      </c>
      <c r="B31" s="100" t="s">
        <v>94</v>
      </c>
      <c r="C31" s="100" t="s">
        <v>114</v>
      </c>
      <c r="D31" s="100"/>
      <c r="E31" s="100"/>
      <c r="F31" s="100"/>
      <c r="G31" s="101"/>
      <c r="H31" s="100"/>
      <c r="I31" s="102">
        <v>20795457.960000001</v>
      </c>
    </row>
    <row r="32" ht="15.75" customHeight="1">
      <c r="A32" s="97" t="s">
        <v>93</v>
      </c>
      <c r="B32" s="97" t="s">
        <v>115</v>
      </c>
      <c r="C32" s="97" t="s">
        <v>116</v>
      </c>
      <c r="D32" s="97" t="s">
        <v>117</v>
      </c>
      <c r="E32" s="97"/>
      <c r="F32" s="97"/>
      <c r="G32" s="98" t="s">
        <v>118</v>
      </c>
      <c r="H32" s="97" t="s">
        <v>119</v>
      </c>
      <c r="I32" s="99">
        <v>10000</v>
      </c>
    </row>
    <row r="33" ht="15.75" customHeight="1">
      <c r="A33" s="100" t="s">
        <v>93</v>
      </c>
      <c r="B33" s="100" t="s">
        <v>115</v>
      </c>
      <c r="C33" s="100" t="s">
        <v>116</v>
      </c>
      <c r="D33" s="100" t="s">
        <v>120</v>
      </c>
      <c r="E33" s="100"/>
      <c r="F33" s="100"/>
      <c r="G33" s="101" t="s">
        <v>121</v>
      </c>
      <c r="H33" s="100" t="s">
        <v>122</v>
      </c>
      <c r="I33" s="102">
        <v>2000</v>
      </c>
    </row>
    <row r="34" ht="15.75" customHeight="1">
      <c r="A34" s="97" t="s">
        <v>93</v>
      </c>
      <c r="B34" s="97" t="s">
        <v>115</v>
      </c>
      <c r="C34" s="97" t="s">
        <v>116</v>
      </c>
      <c r="D34" s="97" t="s">
        <v>123</v>
      </c>
      <c r="E34" s="97"/>
      <c r="F34" s="97"/>
      <c r="G34" s="98"/>
      <c r="H34" s="97"/>
      <c r="I34" s="99">
        <v>-478489.06</v>
      </c>
    </row>
    <row r="35" ht="15.75" customHeight="1">
      <c r="A35" s="100" t="s">
        <v>93</v>
      </c>
      <c r="B35" s="100" t="s">
        <v>115</v>
      </c>
      <c r="C35" s="100" t="s">
        <v>116</v>
      </c>
      <c r="D35" s="100" t="s">
        <v>124</v>
      </c>
      <c r="E35" s="100"/>
      <c r="F35" s="100"/>
      <c r="G35" s="101" t="s">
        <v>125</v>
      </c>
      <c r="H35" s="100" t="s">
        <v>126</v>
      </c>
      <c r="I35" s="102">
        <v>4600000</v>
      </c>
    </row>
    <row r="36" ht="15.75" customHeight="1">
      <c r="A36" s="97" t="s">
        <v>93</v>
      </c>
      <c r="B36" s="97" t="s">
        <v>115</v>
      </c>
      <c r="C36" s="97" t="s">
        <v>116</v>
      </c>
      <c r="D36" s="97" t="s">
        <v>127</v>
      </c>
      <c r="E36" s="97"/>
      <c r="F36" s="97"/>
      <c r="G36" s="98" t="s">
        <v>128</v>
      </c>
      <c r="H36" s="97" t="s">
        <v>129</v>
      </c>
      <c r="I36" s="99">
        <v>3412465.7799999998</v>
      </c>
    </row>
    <row r="37" ht="15.75" customHeight="1">
      <c r="A37" s="100" t="s">
        <v>93</v>
      </c>
      <c r="B37" s="100" t="s">
        <v>115</v>
      </c>
      <c r="C37" s="100" t="s">
        <v>116</v>
      </c>
      <c r="D37" s="100" t="s">
        <v>127</v>
      </c>
      <c r="E37" s="100"/>
      <c r="F37" s="100"/>
      <c r="G37" s="101" t="s">
        <v>130</v>
      </c>
      <c r="H37" s="100" t="s">
        <v>131</v>
      </c>
      <c r="I37" s="102">
        <v>-301974.53999999998</v>
      </c>
    </row>
    <row r="38" ht="15.75" customHeight="1">
      <c r="A38" s="97" t="s">
        <v>93</v>
      </c>
      <c r="B38" s="97" t="s">
        <v>115</v>
      </c>
      <c r="C38" s="97" t="s">
        <v>132</v>
      </c>
      <c r="D38" s="97" t="s">
        <v>133</v>
      </c>
      <c r="E38" s="97"/>
      <c r="F38" s="97"/>
      <c r="G38" s="98" t="s">
        <v>134</v>
      </c>
      <c r="H38" s="97" t="s">
        <v>135</v>
      </c>
      <c r="I38" s="99">
        <v>13896</v>
      </c>
    </row>
    <row r="39" ht="15.75" customHeight="1">
      <c r="A39" s="100" t="s">
        <v>93</v>
      </c>
      <c r="B39" s="100" t="s">
        <v>115</v>
      </c>
      <c r="C39" s="100" t="s">
        <v>136</v>
      </c>
      <c r="D39" s="100" t="s">
        <v>137</v>
      </c>
      <c r="E39" s="100"/>
      <c r="F39" s="100"/>
      <c r="G39" s="101" t="s">
        <v>138</v>
      </c>
      <c r="H39" s="100" t="s">
        <v>139</v>
      </c>
      <c r="I39" s="102">
        <v>1600000</v>
      </c>
    </row>
    <row r="40" ht="15.75" customHeight="1">
      <c r="A40" s="97" t="s">
        <v>93</v>
      </c>
      <c r="B40" s="97" t="s">
        <v>115</v>
      </c>
      <c r="C40" s="97" t="s">
        <v>136</v>
      </c>
      <c r="D40" s="97" t="s">
        <v>137</v>
      </c>
      <c r="E40" s="97"/>
      <c r="F40" s="97"/>
      <c r="G40" s="98" t="s">
        <v>140</v>
      </c>
      <c r="H40" s="97" t="s">
        <v>141</v>
      </c>
      <c r="I40" s="99">
        <v>10000000</v>
      </c>
    </row>
    <row r="41" ht="15.75" customHeight="1">
      <c r="A41" s="100" t="s">
        <v>93</v>
      </c>
      <c r="B41" s="100" t="s">
        <v>115</v>
      </c>
      <c r="C41" s="100" t="s">
        <v>136</v>
      </c>
      <c r="D41" s="100" t="s">
        <v>142</v>
      </c>
      <c r="E41" s="100"/>
      <c r="F41" s="100"/>
      <c r="G41" s="101" t="s">
        <v>143</v>
      </c>
      <c r="H41" s="100" t="s">
        <v>144</v>
      </c>
      <c r="I41" s="102">
        <v>8780.3400000000001</v>
      </c>
    </row>
    <row r="42" ht="15.75" customHeight="1">
      <c r="A42" s="97" t="s">
        <v>93</v>
      </c>
      <c r="B42" s="97" t="s">
        <v>115</v>
      </c>
      <c r="C42" s="97" t="s">
        <v>136</v>
      </c>
      <c r="D42" s="97" t="s">
        <v>142</v>
      </c>
      <c r="E42" s="97"/>
      <c r="F42" s="97"/>
      <c r="G42" s="98" t="s">
        <v>143</v>
      </c>
      <c r="H42" s="97" t="s">
        <v>145</v>
      </c>
      <c r="I42" s="99">
        <v>10500</v>
      </c>
    </row>
    <row r="43" ht="15.75" customHeight="1">
      <c r="A43" s="100" t="s">
        <v>93</v>
      </c>
      <c r="B43" s="100" t="s">
        <v>115</v>
      </c>
      <c r="C43" s="100" t="s">
        <v>136</v>
      </c>
      <c r="D43" s="100" t="s">
        <v>142</v>
      </c>
      <c r="E43" s="100"/>
      <c r="F43" s="100"/>
      <c r="G43" s="101" t="s">
        <v>146</v>
      </c>
      <c r="H43" s="100" t="s">
        <v>147</v>
      </c>
      <c r="I43" s="102">
        <v>87776</v>
      </c>
    </row>
    <row r="44" ht="15.75" customHeight="1">
      <c r="A44" s="97" t="s">
        <v>93</v>
      </c>
      <c r="B44" s="97" t="s">
        <v>115</v>
      </c>
      <c r="C44" s="97" t="s">
        <v>136</v>
      </c>
      <c r="D44" s="97" t="s">
        <v>142</v>
      </c>
      <c r="E44" s="97"/>
      <c r="F44" s="97"/>
      <c r="G44" s="98" t="s">
        <v>148</v>
      </c>
      <c r="H44" s="97" t="s">
        <v>149</v>
      </c>
      <c r="I44" s="99">
        <v>26561.240000000002</v>
      </c>
    </row>
    <row r="45" ht="15.75" customHeight="1">
      <c r="A45" s="100" t="s">
        <v>93</v>
      </c>
      <c r="B45" s="100" t="s">
        <v>115</v>
      </c>
      <c r="C45" s="100" t="s">
        <v>136</v>
      </c>
      <c r="D45" s="100" t="s">
        <v>150</v>
      </c>
      <c r="E45" s="100"/>
      <c r="F45" s="100"/>
      <c r="G45" s="101" t="s">
        <v>151</v>
      </c>
      <c r="H45" s="100" t="s">
        <v>152</v>
      </c>
      <c r="I45" s="102">
        <v>1802500</v>
      </c>
    </row>
    <row r="46" ht="15.75" customHeight="1">
      <c r="A46" s="97" t="s">
        <v>93</v>
      </c>
      <c r="B46" s="97" t="s">
        <v>115</v>
      </c>
      <c r="C46" s="97" t="s">
        <v>136</v>
      </c>
      <c r="D46" s="97" t="s">
        <v>150</v>
      </c>
      <c r="E46" s="97"/>
      <c r="F46" s="97"/>
      <c r="G46" s="98" t="s">
        <v>153</v>
      </c>
      <c r="H46" s="97" t="s">
        <v>154</v>
      </c>
      <c r="I46" s="99">
        <v>1442.2</v>
      </c>
    </row>
    <row r="47" ht="15.75" customHeight="1">
      <c r="A47" s="100" t="s">
        <v>93</v>
      </c>
      <c r="B47" s="100" t="s">
        <v>115</v>
      </c>
      <c r="C47" s="100" t="s">
        <v>155</v>
      </c>
      <c r="D47" s="100"/>
      <c r="E47" s="100"/>
      <c r="F47" s="100"/>
      <c r="G47" s="101"/>
      <c r="H47" s="100"/>
      <c r="I47" s="102">
        <v>20795457.960000001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A1" activeCellId="0" sqref="A1"/>
    </sheetView>
  </sheetViews>
  <sheetFormatPr baseColWidth="10" defaultColWidth="8.6640625" defaultRowHeight="15"/>
  <sheetData>
    <row r="1" ht="15" customHeight="1">
      <c r="A1" t="s">
        <v>156</v>
      </c>
    </row>
    <row r="2" ht="15" customHeight="1">
      <c r="A2" t="s">
        <v>36</v>
      </c>
      <c r="C2">
        <f>IF((((DATASET!$C2='1 · Executive View'!$B$6)+('1 · Executive View'!$B$6=""))*((DATASET!$D2='1 · Executive View'!$D$6)+('1 · Executive View'!$D$6=""))*((DATASET!$E2='1 · Executive View'!$F$6)+('1 · Executive View'!$F$6=""))*((DATASET!$F2='1 · Executive View'!$H$6)+('1 · Executive View'!$H$6=""))*(DATASET!$G2&lt;&gt;""))&gt;0,1,0)</f>
        <v>0</v>
      </c>
      <c r="D2" t="str">
        <f t="shared" ref="D2:D9" si="0">IF(C2=1,SUM($C$2:C2),"")</f>
        <v/>
      </c>
      <c r="E2" s="103" t="str">
        <f>IF(C2=1,DATASET!$I2,"")</f>
        <v/>
      </c>
      <c r="F2" t="str">
        <f>IF((((DATASET!$C2='1 · Executive View'!$B$6)+('1 · Executive View'!$B$6=""))*(DATASET!$D2&lt;&gt;"")*(DATASET!$G2&lt;&gt;""))&gt;0,DATASET!$D2,"")</f>
        <v/>
      </c>
      <c r="G2" t="str">
        <f t="shared" ref="G2:G9" si="1">IF(F2&lt;&gt;"",COUNTIF($F$2:F2,"?*"),"")</f>
        <v/>
      </c>
      <c r="H2" t="str">
        <f>IF((((DATASET!$C2='1 · Executive View'!$B$6)+('1 · Executive View'!$B$6=""))*((DATASET!$D2='1 · Executive View'!$D$6)+('1 · Executive View'!$D$6=""))*(DATASET!$E2&lt;&gt;"")*(DATASET!$G2&lt;&gt;""))&gt;0,DATASET!$E2,"")</f>
        <v/>
      </c>
      <c r="I2" t="str">
        <f t="shared" ref="I2:I9" si="2">IF(H2&lt;&gt;"",COUNTIF($H$2:H2,"?*"),"")</f>
        <v/>
      </c>
      <c r="J2" t="str">
        <f>IF((((DATASET!$C2='1 · Executive View'!$B$6)+('1 · Executive View'!$B$6=""))*((DATASET!$D2='1 · Executive View'!$D$6)+('1 · Executive View'!$D$6=""))*((DATASET!$E2='1 · Executive View'!$F$6)+('1 · Executive View'!$F$6=""))*(DATASET!$F2&lt;&gt;"")*(DATASET!$G2&lt;&gt;""))&gt;0,DATASET!$F2,"")</f>
        <v/>
      </c>
      <c r="K2" t="str">
        <f t="shared" ref="K2:K9" si="3">IF(J2&lt;&gt;"",COUNTIF($J$2:J2,"?*"),"")</f>
        <v/>
      </c>
      <c r="N2">
        <f>IF((((DATASET!$C2='2 · Sidebar Studio'!$B$7)+('2 · Sidebar Studio'!$B$7=""))*((DATASET!$D2='2 · Sidebar Studio'!$B$9)+('2 · Sidebar Studio'!$B$9=""))*((DATASET!$E2='2 · Sidebar Studio'!$B$11)+('2 · Sidebar Studio'!$B$11=""))*((DATASET!$F2='2 · Sidebar Studio'!$B$13)+('2 · Sidebar Studio'!$B$13=""))*(DATASET!$G2&lt;&gt;""))&gt;0,1,0)</f>
        <v>1</v>
      </c>
      <c r="O2">
        <f t="shared" ref="O2:O9" si="4">IF(N2=1,SUM($N$2:N2),"")</f>
        <v>1</v>
      </c>
      <c r="P2" s="103">
        <f>IF(N2=1,DATASET!$I2,"")</f>
        <v>110000</v>
      </c>
      <c r="Q2" t="str">
        <f>IF((((DATASET!$C2='2 · Sidebar Studio'!$B$7)+('2 · Sidebar Studio'!$B$7=""))*(DATASET!$D2&lt;&gt;"")*(DATASET!$G2&lt;&gt;""))&gt;0,DATASET!$D2,"")</f>
        <v xml:space="preserve">1) Ricavi delle vendite e delle prestazioni</v>
      </c>
      <c r="R2">
        <f t="shared" ref="R2:R9" si="5">IF(Q2&lt;&gt;"",COUNTIF($Q$2:Q2,"?*"),"")</f>
        <v>1</v>
      </c>
      <c r="S2" t="str">
        <f>IF((((DATASET!$C2='2 · Sidebar Studio'!$B$7)+('2 · Sidebar Studio'!$B$7=""))*((DATASET!$D2='2 · Sidebar Studio'!$B$9)+('2 · Sidebar Studio'!$B$9=""))*(DATASET!$E2&lt;&gt;"")*(DATASET!$G2&lt;&gt;""))&gt;0,DATASET!$E2,"")</f>
        <v/>
      </c>
      <c r="T2" t="str">
        <f t="shared" ref="T2:T9" si="6">IF(S2&lt;&gt;"",COUNTIF($S$2:S2,"?*"),"")</f>
        <v/>
      </c>
      <c r="U2" t="str">
        <f>IF((((DATASET!$C2='2 · Sidebar Studio'!$B$7)+('2 · Sidebar Studio'!$B$7=""))*((DATASET!$D2='2 · Sidebar Studio'!$B$9)+('2 · Sidebar Studio'!$B$9=""))*((DATASET!$E2='2 · Sidebar Studio'!$B$11)+('2 · Sidebar Studio'!$B$11=""))*(DATASET!$F2&lt;&gt;"")*(DATASET!$G2&lt;&gt;""))&gt;0,DATASET!$F2,"")</f>
        <v/>
      </c>
      <c r="V2" t="str">
        <f t="shared" ref="V2:V9" si="7">IF(U2&lt;&gt;"",COUNTIF($U$2:U2,"?*"),"")</f>
        <v/>
      </c>
      <c r="Y2">
        <f>IF((((DATASET!$C2='3 · KPI Cards'!$B$9)+('3 · KPI Cards'!$B$9=""))*((DATASET!$D2='3 · KPI Cards'!$D$9)+('3 · KPI Cards'!$D$9=""))*((DATASET!$E2='3 · KPI Cards'!$F$9)+('3 · KPI Cards'!$F$9=""))*((DATASET!$F2='3 · KPI Cards'!$H$9)+('3 · KPI Cards'!$H$9=""))*(DATASET!$G2&lt;&gt;""))&gt;0,1,0)</f>
        <v>1</v>
      </c>
      <c r="Z2">
        <f t="shared" ref="Z2:Z9" si="8">IF(Y2=1,SUM($Y$2:Y2),"")</f>
        <v>1</v>
      </c>
      <c r="AA2" s="103">
        <f>IF(Y2=1,DATASET!$I2,"")</f>
        <v>110000</v>
      </c>
      <c r="AB2" t="str">
        <f>IF((((DATASET!$C2='3 · KPI Cards'!$B$9)+('3 · KPI Cards'!$B$9=""))*(DATASET!$D2&lt;&gt;"")*(DATASET!$G2&lt;&gt;""))&gt;0,DATASET!$D2,"")</f>
        <v xml:space="preserve">1) Ricavi delle vendite e delle prestazioni</v>
      </c>
      <c r="AC2">
        <f t="shared" ref="AC2:AC9" si="9">IF(AB2&lt;&gt;"",COUNTIF($AB$2:AB2,"?*"),"")</f>
        <v>1</v>
      </c>
      <c r="AD2" t="str">
        <f>IF((((DATASET!$C2='3 · KPI Cards'!$B$9)+('3 · KPI Cards'!$B$9=""))*((DATASET!$D2='3 · KPI Cards'!$D$9)+('3 · KPI Cards'!$D$9=""))*(DATASET!$E2&lt;&gt;"")*(DATASET!$G2&lt;&gt;""))&gt;0,DATASET!$E2,"")</f>
        <v/>
      </c>
      <c r="AE2" t="str">
        <f t="shared" ref="AE2:AE9" si="10">IF(AD2&lt;&gt;"",COUNTIF($AD$2:AD2,"?*"),"")</f>
        <v/>
      </c>
      <c r="AF2" t="str">
        <f>IF((((DATASET!$C2='3 · KPI Cards'!$B$9)+('3 · KPI Cards'!$B$9=""))*((DATASET!$D2='3 · KPI Cards'!$D$9)+('3 · KPI Cards'!$D$9=""))*((DATASET!$E2='3 · KPI Cards'!$F$9)+('3 · KPI Cards'!$F$9=""))*(DATASET!$F2&lt;&gt;"")*(DATASET!$G2&lt;&gt;""))&gt;0,DATASET!$F2,"")</f>
        <v/>
      </c>
      <c r="AG2" t="str">
        <f t="shared" ref="AG2:AG9" si="11">IF(AF2&lt;&gt;"",COUNTIF($AF$2:AF2,"?*"),"")</f>
        <v/>
      </c>
      <c r="AJ2">
        <f>IF((((DATASET!$C2='4 · Board Report'!$D$5)+('4 · Board Report'!$D$5=""))*((DATASET!$D2='4 · Board Report'!$D$6)+('4 · Board Report'!$D$6=""))*((DATASET!$E2='4 · Board Report'!$D$7)+('4 · Board Report'!$D$7=""))*((DATASET!$F2='4 · Board Report'!$D$8)+('4 · Board Report'!$D$8=""))*(DATASET!$G2&lt;&gt;""))&gt;0,1,0)</f>
        <v>0</v>
      </c>
      <c r="AK2" t="str">
        <f t="shared" ref="AK2:AK9" si="12">IF(AJ2=1,SUM($AJ$2:AJ2),"")</f>
        <v/>
      </c>
      <c r="AL2" s="103" t="str">
        <f>IF(AJ2=1,DATASET!$I2,"")</f>
        <v/>
      </c>
      <c r="AM2" t="str">
        <f>IF((((DATASET!$C2='4 · Board Report'!$D$5)+('4 · Board Report'!$D$5=""))*(DATASET!$D2&lt;&gt;"")*(DATASET!$G2&lt;&gt;""))&gt;0,DATASET!$D2,"")</f>
        <v/>
      </c>
      <c r="AN2" t="str">
        <f t="shared" ref="AN2:AN9" si="13">IF(AM2&lt;&gt;"",COUNTIF($AM$2:AM2,"?*"),"")</f>
        <v/>
      </c>
      <c r="AO2" t="str">
        <f>IF((((DATASET!$C2='4 · Board Report'!$D$5)+('4 · Board Report'!$D$5=""))*((DATASET!$D2='4 · Board Report'!$D$6)+('4 · Board Report'!$D$6=""))*(DATASET!$E2&lt;&gt;"")*(DATASET!$G2&lt;&gt;""))&gt;0,DATASET!$E2,"")</f>
        <v/>
      </c>
      <c r="AP2" t="str">
        <f t="shared" ref="AP2:AP9" si="14">IF(AO2&lt;&gt;"",COUNTIF($AO$2:AO2,"?*"),"")</f>
        <v/>
      </c>
      <c r="AQ2" t="str">
        <f>IF((((DATASET!$C2='4 · Board Report'!$D$5)+('4 · Board Report'!$D$5=""))*((DATASET!$D2='4 · Board Report'!$D$6)+('4 · Board Report'!$D$6=""))*((DATASET!$E2='4 · Board Report'!$D$7)+('4 · Board Report'!$D$7=""))*(DATASET!$F2&lt;&gt;"")*(DATASET!$G2&lt;&gt;""))&gt;0,DATASET!$F2,"")</f>
        <v/>
      </c>
      <c r="AR2" t="str">
        <f t="shared" ref="AR2:AR9" si="15">IF(AQ2&lt;&gt;"",COUNTIF($AQ$2:AQ2,"?*"),"")</f>
        <v/>
      </c>
      <c r="AU2">
        <f>IF((((DATASET!$C2='5 · Modern Console'!$B$4)+('5 · Modern Console'!$B$4=""))*((DATASET!$D2='5 · Modern Console'!$D$4)+('5 · Modern Console'!$D$4=""))*((DATASET!$E2='5 · Modern Console'!$F$4)+('5 · Modern Console'!$F$4=""))*((DATASET!$F2='5 · Modern Console'!$H$4)+('5 · Modern Console'!$H$4=""))*(DATASET!$G2&lt;&gt;""))&gt;0,1,0)</f>
        <v>1</v>
      </c>
      <c r="AV2">
        <f t="shared" ref="AV2:AV9" si="16">IF(AU2=1,SUM($AU$2:AU2),"")</f>
        <v>1</v>
      </c>
      <c r="AW2" s="103">
        <f>IF(AU2=1,DATASET!$I2,"")</f>
        <v>110000</v>
      </c>
      <c r="AX2" t="str">
        <f>IF((((DATASET!$C2='5 · Modern Console'!$B$4)+('5 · Modern Console'!$B$4=""))*(DATASET!$D2&lt;&gt;"")*(DATASET!$G2&lt;&gt;""))&gt;0,DATASET!$D2,"")</f>
        <v xml:space="preserve">1) Ricavi delle vendite e delle prestazioni</v>
      </c>
      <c r="AY2">
        <f t="shared" ref="AY2:AY9" si="17">IF(AX2&lt;&gt;"",COUNTIF($AX$2:AX2,"?*"),"")</f>
        <v>1</v>
      </c>
      <c r="AZ2" t="str">
        <f>IF((((DATASET!$C2='5 · Modern Console'!$B$4)+('5 · Modern Console'!$B$4=""))*((DATASET!$D2='5 · Modern Console'!$D$4)+('5 · Modern Console'!$D$4=""))*(DATASET!$E2&lt;&gt;"")*(DATASET!$G2&lt;&gt;""))&gt;0,DATASET!$E2,"")</f>
        <v/>
      </c>
      <c r="BA2" t="str">
        <f t="shared" ref="BA2:BA9" si="18">IF(AZ2&lt;&gt;"",COUNTIF($AZ$2:AZ2,"?*"),"")</f>
        <v/>
      </c>
      <c r="BB2" t="str">
        <f>IF((((DATASET!$C2='5 · Modern Console'!$B$4)+('5 · Modern Console'!$B$4=""))*((DATASET!$D2='5 · Modern Console'!$D$4)+('5 · Modern Console'!$D$4=""))*((DATASET!$E2='5 · Modern Console'!$F$4)+('5 · Modern Console'!$F$4=""))*(DATASET!$F2&lt;&gt;"")*(DATASET!$G2&lt;&gt;""))&gt;0,DATASET!$F2,"")</f>
        <v/>
      </c>
      <c r="BC2" t="str">
        <f t="shared" ref="BC2:BC9" si="19">IF(BB2&lt;&gt;"",COUNTIF($BB$2:BB2,"?*"),"")</f>
        <v/>
      </c>
    </row>
    <row r="3" ht="15" customHeight="1">
      <c r="A3" t="s">
        <v>44</v>
      </c>
      <c r="C3">
        <f>IF((((DATASET!$C3='1 · Executive View'!$B$6)+('1 · Executive View'!$B$6=""))*((DATASET!$D3='1 · Executive View'!$D$6)+('1 · Executive View'!$D$6=""))*((DATASET!$E3='1 · Executive View'!$F$6)+('1 · Executive View'!$F$6=""))*((DATASET!$F3='1 · Executive View'!$H$6)+('1 · Executive View'!$H$6=""))*(DATASET!$G3&lt;&gt;""))&gt;0,1,0)</f>
        <v>0</v>
      </c>
      <c r="D3" t="str">
        <f t="shared" si="0"/>
        <v/>
      </c>
      <c r="E3" s="103" t="str">
        <f>IF(C3=1,DATASET!$I3,"")</f>
        <v/>
      </c>
      <c r="F3" t="str">
        <f>IF(((((DATASET!$C3='1 · Executive View'!$B$6)+('1 · Executive View'!$B$6=""))*(DATASET!$D3&lt;&gt;"")*(DATASET!$G3&lt;&gt;""))*(SUMPRODUCT((DATASET!$D$2:$D2=DATASET!$D3)*((DATASET!$C$2:$C2='1 · Executive View'!$B$6)+('1 · Executive View'!$B$6=""))*(DATASET!$D$2:$D2&lt;&gt;"")*(DATASET!$G$2:$G2&lt;&gt;""))=0))&gt;0,DATASET!$D3,"")</f>
        <v/>
      </c>
      <c r="G3" t="str">
        <f t="shared" si="1"/>
        <v/>
      </c>
      <c r="H3" t="str">
        <f>IF(((((DATASET!$C3='1 · Executive View'!$B$6)+('1 · Executive View'!$B$6=""))*((DATASET!$D3='1 · Executive View'!$D$6)+('1 · Executive View'!$D$6=""))*(DATASET!$E3&lt;&gt;"")*(DATASET!$G3&lt;&gt;""))*(SUMPRODUCT((DATASET!$E$2:$E2=DATASET!$E3)*((DATASET!$C$2:$C2='1 · Executive View'!$B$6)+('1 · Executive View'!$B$6=""))*((DATASET!$D$2:$D2='1 · Executive View'!$D$6)+('1 · Executive View'!$D$6=""))*(DATASET!$E$2:$E2&lt;&gt;"")*(DATASET!$G$2:$G2&lt;&gt;""))=0))&gt;0,DATASET!$E3,"")</f>
        <v/>
      </c>
      <c r="I3" t="str">
        <f t="shared" si="2"/>
        <v/>
      </c>
      <c r="J3" t="str">
        <f>IF(((((DATASET!$C3='1 · Executive View'!$B$6)+('1 · Executive View'!$B$6=""))*((DATASET!$D3='1 · Executive View'!$D$6)+('1 · Executive View'!$D$6=""))*((DATASET!$E3='1 · Executive View'!$F$6)+('1 · Executive View'!$F$6=""))*(DATASET!$F3&lt;&gt;"")*(DATASET!$G3&lt;&gt;""))*(SUMPRODUCT((DATASET!$F$2:$F2=DATASET!$F3)*((DATASET!$C$2:$C2='1 · Executive View'!$B$6)+('1 · Executive View'!$B$6=""))*((DATASET!$D$2:$D2='1 · Executive View'!$D$6)+('1 · Executive View'!$D$6=""))*((DATASET!$E$2:$E2='1 · Executive View'!$F$6)+('1 · Executive View'!$F$6=""))*(DATASET!$F$2:$F2&lt;&gt;"")*(DATASET!$G$2:$G2&lt;&gt;""))=0))&gt;0,DATASET!$F3,"")</f>
        <v/>
      </c>
      <c r="K3" t="str">
        <f t="shared" si="3"/>
        <v/>
      </c>
      <c r="N3">
        <f>IF((((DATASET!$C3='2 · Sidebar Studio'!$B$7)+('2 · Sidebar Studio'!$B$7=""))*((DATASET!$D3='2 · Sidebar Studio'!$B$9)+('2 · Sidebar Studio'!$B$9=""))*((DATASET!$E3='2 · Sidebar Studio'!$B$11)+('2 · Sidebar Studio'!$B$11=""))*((DATASET!$F3='2 · Sidebar Studio'!$B$13)+('2 · Sidebar Studio'!$B$13=""))*(DATASET!$G3&lt;&gt;""))&gt;0,1,0)</f>
        <v>1</v>
      </c>
      <c r="O3">
        <f t="shared" si="4"/>
        <v>2</v>
      </c>
      <c r="P3" s="103">
        <f>IF(N3=1,DATASET!$I3,"")</f>
        <v>0.77000000000000002</v>
      </c>
      <c r="Q3" t="str">
        <f>IF(((((DATASET!$C3='2 · Sidebar Studio'!$B$7)+('2 · Sidebar Studio'!$B$7=""))*(DATASET!$D3&lt;&gt;"")*(DATASET!$G3&lt;&gt;""))*(SUMPRODUCT((DATASET!$D$2:$D2=DATASET!$D3)*((DATASET!$C$2:$C2='2 · Sidebar Studio'!$B$7)+('2 · Sidebar Studio'!$B$7=""))*(DATASET!$D$2:$D2&lt;&gt;"")*(DATASET!$G$2:$G2&lt;&gt;""))=0))&gt;0,DATASET!$D3,"")</f>
        <v xml:space="preserve">5) Altri ricavi e proventi</v>
      </c>
      <c r="R3">
        <f t="shared" si="5"/>
        <v>2</v>
      </c>
      <c r="S3" t="str">
        <f>IF(((((DATASET!$C3='2 · Sidebar Studio'!$B$7)+('2 · Sidebar Studio'!$B$7=""))*((DATASET!$D3='2 · Sidebar Studio'!$B$9)+('2 · Sidebar Studio'!$B$9=""))*(DATASET!$E3&lt;&gt;"")*(DATASET!$G3&lt;&gt;""))*(SUMPRODUCT((DATASET!$E$2:$E2=DATASET!$E3)*((DATASET!$C$2:$C2='2 · Sidebar Studio'!$B$7)+('2 · Sidebar Studio'!$B$7=""))*((DATASET!$D$2:$D2='2 · Sidebar Studio'!$B$9)+('2 · Sidebar Studio'!$B$9=""))*(DATASET!$E$2:$E2&lt;&gt;"")*(DATASET!$G$2:$G2&lt;&gt;""))=0))&gt;0,DATASET!$E3,"")</f>
        <v/>
      </c>
      <c r="T3" t="str">
        <f t="shared" si="6"/>
        <v/>
      </c>
      <c r="U3" t="str">
        <f>IF(((((DATASET!$C3='2 · Sidebar Studio'!$B$7)+('2 · Sidebar Studio'!$B$7=""))*((DATASET!$D3='2 · Sidebar Studio'!$B$9)+('2 · Sidebar Studio'!$B$9=""))*((DATASET!$E3='2 · Sidebar Studio'!$B$11)+('2 · Sidebar Studio'!$B$11=""))*(DATASET!$F3&lt;&gt;"")*(DATASET!$G3&lt;&gt;""))*(SUMPRODUCT((DATASET!$F$2:$F2=DATASET!$F3)*((DATASET!$C$2:$C2='2 · Sidebar Studio'!$B$7)+('2 · Sidebar Studio'!$B$7=""))*((DATASET!$D$2:$D2='2 · Sidebar Studio'!$B$9)+('2 · Sidebar Studio'!$B$9=""))*((DATASET!$E$2:$E2='2 · Sidebar Studio'!$B$11)+('2 · Sidebar Studio'!$B$11=""))*(DATASET!$F$2:$F2&lt;&gt;"")*(DATASET!$G$2:$G2&lt;&gt;""))=0))&gt;0,DATASET!$F3,"")</f>
        <v/>
      </c>
      <c r="V3" t="str">
        <f t="shared" si="7"/>
        <v/>
      </c>
      <c r="Y3">
        <f>IF((((DATASET!$C3='3 · KPI Cards'!$B$9)+('3 · KPI Cards'!$B$9=""))*((DATASET!$D3='3 · KPI Cards'!$D$9)+('3 · KPI Cards'!$D$9=""))*((DATASET!$E3='3 · KPI Cards'!$F$9)+('3 · KPI Cards'!$F$9=""))*((DATASET!$F3='3 · KPI Cards'!$H$9)+('3 · KPI Cards'!$H$9=""))*(DATASET!$G3&lt;&gt;""))&gt;0,1,0)</f>
        <v>1</v>
      </c>
      <c r="Z3">
        <f t="shared" si="8"/>
        <v>2</v>
      </c>
      <c r="AA3" s="103">
        <f>IF(Y3=1,DATASET!$I3,"")</f>
        <v>0.77000000000000002</v>
      </c>
      <c r="AB3" t="str">
        <f>IF(((((DATASET!$C3='3 · KPI Cards'!$B$9)+('3 · KPI Cards'!$B$9=""))*(DATASET!$D3&lt;&gt;"")*(DATASET!$G3&lt;&gt;""))*(SUMPRODUCT((DATASET!$D$2:$D2=DATASET!$D3)*((DATASET!$C$2:$C2='3 · KPI Cards'!$B$9)+('3 · KPI Cards'!$B$9=""))*(DATASET!$D$2:$D2&lt;&gt;"")*(DATASET!$G$2:$G2&lt;&gt;""))=0))&gt;0,DATASET!$D3,"")</f>
        <v xml:space="preserve">5) Altri ricavi e proventi</v>
      </c>
      <c r="AC3">
        <f t="shared" si="9"/>
        <v>2</v>
      </c>
      <c r="AD3" t="str">
        <f>IF(((((DATASET!$C3='3 · KPI Cards'!$B$9)+('3 · KPI Cards'!$B$9=""))*((DATASET!$D3='3 · KPI Cards'!$D$9)+('3 · KPI Cards'!$D$9=""))*(DATASET!$E3&lt;&gt;"")*(DATASET!$G3&lt;&gt;""))*(SUMPRODUCT((DATASET!$E$2:$E2=DATASET!$E3)*((DATASET!$C$2:$C2='3 · KPI Cards'!$B$9)+('3 · KPI Cards'!$B$9=""))*((DATASET!$D$2:$D2='3 · KPI Cards'!$D$9)+('3 · KPI Cards'!$D$9=""))*(DATASET!$E$2:$E2&lt;&gt;"")*(DATASET!$G$2:$G2&lt;&gt;""))=0))&gt;0,DATASET!$E3,"")</f>
        <v/>
      </c>
      <c r="AE3" t="str">
        <f t="shared" si="10"/>
        <v/>
      </c>
      <c r="AF3" t="str">
        <f>IF(((((DATASET!$C3='3 · KPI Cards'!$B$9)+('3 · KPI Cards'!$B$9=""))*((DATASET!$D3='3 · KPI Cards'!$D$9)+('3 · KPI Cards'!$D$9=""))*((DATASET!$E3='3 · KPI Cards'!$F$9)+('3 · KPI Cards'!$F$9=""))*(DATASET!$F3&lt;&gt;"")*(DATASET!$G3&lt;&gt;""))*(SUMPRODUCT((DATASET!$F$2:$F2=DATASET!$F3)*((DATASET!$C$2:$C2='3 · KPI Cards'!$B$9)+('3 · KPI Cards'!$B$9=""))*((DATASET!$D$2:$D2='3 · KPI Cards'!$D$9)+('3 · KPI Cards'!$D$9=""))*((DATASET!$E$2:$E2='3 · KPI Cards'!$F$9)+('3 · KPI Cards'!$F$9=""))*(DATASET!$F$2:$F2&lt;&gt;"")*(DATASET!$G$2:$G2&lt;&gt;""))=0))&gt;0,DATASET!$F3,"")</f>
        <v/>
      </c>
      <c r="AG3" t="str">
        <f t="shared" si="11"/>
        <v/>
      </c>
      <c r="AJ3">
        <f>IF((((DATASET!$C3='4 · Board Report'!$D$5)+('4 · Board Report'!$D$5=""))*((DATASET!$D3='4 · Board Report'!$D$6)+('4 · Board Report'!$D$6=""))*((DATASET!$E3='4 · Board Report'!$D$7)+('4 · Board Report'!$D$7=""))*((DATASET!$F3='4 · Board Report'!$D$8)+('4 · Board Report'!$D$8=""))*(DATASET!$G3&lt;&gt;""))&gt;0,1,0)</f>
        <v>0</v>
      </c>
      <c r="AK3" t="str">
        <f t="shared" si="12"/>
        <v/>
      </c>
      <c r="AL3" s="103" t="str">
        <f>IF(AJ3=1,DATASET!$I3,"")</f>
        <v/>
      </c>
      <c r="AM3" t="str">
        <f>IF(((((DATASET!$C3='4 · Board Report'!$D$5)+('4 · Board Report'!$D$5=""))*(DATASET!$D3&lt;&gt;"")*(DATASET!$G3&lt;&gt;""))*(SUMPRODUCT((DATASET!$D$2:$D2=DATASET!$D3)*((DATASET!$C$2:$C2='4 · Board Report'!$D$5)+('4 · Board Report'!$D$5=""))*(DATASET!$D$2:$D2&lt;&gt;"")*(DATASET!$G$2:$G2&lt;&gt;""))=0))&gt;0,DATASET!$D3,"")</f>
        <v/>
      </c>
      <c r="AN3" t="str">
        <f t="shared" si="13"/>
        <v/>
      </c>
      <c r="AO3" t="str">
        <f>IF(((((DATASET!$C3='4 · Board Report'!$D$5)+('4 · Board Report'!$D$5=""))*((DATASET!$D3='4 · Board Report'!$D$6)+('4 · Board Report'!$D$6=""))*(DATASET!$E3&lt;&gt;"")*(DATASET!$G3&lt;&gt;""))*(SUMPRODUCT((DATASET!$E$2:$E2=DATASET!$E3)*((DATASET!$C$2:$C2='4 · Board Report'!$D$5)+('4 · Board Report'!$D$5=""))*((DATASET!$D$2:$D2='4 · Board Report'!$D$6)+('4 · Board Report'!$D$6=""))*(DATASET!$E$2:$E2&lt;&gt;"")*(DATASET!$G$2:$G2&lt;&gt;""))=0))&gt;0,DATASET!$E3,"")</f>
        <v/>
      </c>
      <c r="AP3" t="str">
        <f t="shared" si="14"/>
        <v/>
      </c>
      <c r="AQ3" t="str">
        <f>IF(((((DATASET!$C3='4 · Board Report'!$D$5)+('4 · Board Report'!$D$5=""))*((DATASET!$D3='4 · Board Report'!$D$6)+('4 · Board Report'!$D$6=""))*((DATASET!$E3='4 · Board Report'!$D$7)+('4 · Board Report'!$D$7=""))*(DATASET!$F3&lt;&gt;"")*(DATASET!$G3&lt;&gt;""))*(SUMPRODUCT((DATASET!$F$2:$F2=DATASET!$F3)*((DATASET!$C$2:$C2='4 · Board Report'!$D$5)+('4 · Board Report'!$D$5=""))*((DATASET!$D$2:$D2='4 · Board Report'!$D$6)+('4 · Board Report'!$D$6=""))*((DATASET!$E$2:$E2='4 · Board Report'!$D$7)+('4 · Board Report'!$D$7=""))*(DATASET!$F$2:$F2&lt;&gt;"")*(DATASET!$G$2:$G2&lt;&gt;""))=0))&gt;0,DATASET!$F3,"")</f>
        <v/>
      </c>
      <c r="AR3" t="str">
        <f t="shared" si="15"/>
        <v/>
      </c>
      <c r="AU3">
        <f>IF((((DATASET!$C3='5 · Modern Console'!$B$4)+('5 · Modern Console'!$B$4=""))*((DATASET!$D3='5 · Modern Console'!$D$4)+('5 · Modern Console'!$D$4=""))*((DATASET!$E3='5 · Modern Console'!$F$4)+('5 · Modern Console'!$F$4=""))*((DATASET!$F3='5 · Modern Console'!$H$4)+('5 · Modern Console'!$H$4=""))*(DATASET!$G3&lt;&gt;""))&gt;0,1,0)</f>
        <v>1</v>
      </c>
      <c r="AV3">
        <f t="shared" si="16"/>
        <v>2</v>
      </c>
      <c r="AW3" s="103">
        <f>IF(AU3=1,DATASET!$I3,"")</f>
        <v>0.77000000000000002</v>
      </c>
      <c r="AX3" t="str">
        <f>IF(((((DATASET!$C3='5 · Modern Console'!$B$4)+('5 · Modern Console'!$B$4=""))*(DATASET!$D3&lt;&gt;"")*(DATASET!$G3&lt;&gt;""))*(SUMPRODUCT((DATASET!$D$2:$D2=DATASET!$D3)*((DATASET!$C$2:$C2='5 · Modern Console'!$B$4)+('5 · Modern Console'!$B$4=""))*(DATASET!$D$2:$D2&lt;&gt;"")*(DATASET!$G$2:$G2&lt;&gt;""))=0))&gt;0,DATASET!$D3,"")</f>
        <v xml:space="preserve">5) Altri ricavi e proventi</v>
      </c>
      <c r="AY3">
        <f t="shared" si="17"/>
        <v>2</v>
      </c>
      <c r="AZ3" t="str">
        <f>IF(((((DATASET!$C3='5 · Modern Console'!$B$4)+('5 · Modern Console'!$B$4=""))*((DATASET!$D3='5 · Modern Console'!$D$4)+('5 · Modern Console'!$D$4=""))*(DATASET!$E3&lt;&gt;"")*(DATASET!$G3&lt;&gt;""))*(SUMPRODUCT((DATASET!$E$2:$E2=DATASET!$E3)*((DATASET!$C$2:$C2='5 · Modern Console'!$B$4)+('5 · Modern Console'!$B$4=""))*((DATASET!$D$2:$D2='5 · Modern Console'!$D$4)+('5 · Modern Console'!$D$4=""))*(DATASET!$E$2:$E2&lt;&gt;"")*(DATASET!$G$2:$G2&lt;&gt;""))=0))&gt;0,DATASET!$E3,"")</f>
        <v/>
      </c>
      <c r="BA3" t="str">
        <f t="shared" si="18"/>
        <v/>
      </c>
      <c r="BB3" t="str">
        <f>IF(((((DATASET!$C3='5 · Modern Console'!$B$4)+('5 · Modern Console'!$B$4=""))*((DATASET!$D3='5 · Modern Console'!$D$4)+('5 · Modern Console'!$D$4=""))*((DATASET!$E3='5 · Modern Console'!$F$4)+('5 · Modern Console'!$F$4=""))*(DATASET!$F3&lt;&gt;"")*(DATASET!$G3&lt;&gt;""))*(SUMPRODUCT((DATASET!$F$2:$F2=DATASET!$F3)*((DATASET!$C$2:$C2='5 · Modern Console'!$B$4)+('5 · Modern Console'!$B$4=""))*((DATASET!$D$2:$D2='5 · Modern Console'!$D$4)+('5 · Modern Console'!$D$4=""))*((DATASET!$E$2:$E2='5 · Modern Console'!$F$4)+('5 · Modern Console'!$F$4=""))*(DATASET!$F$2:$F2&lt;&gt;"")*(DATASET!$G$2:$G2&lt;&gt;""))=0))&gt;0,DATASET!$F3,"")</f>
        <v/>
      </c>
      <c r="BC3" t="str">
        <f t="shared" si="19"/>
        <v/>
      </c>
    </row>
    <row r="4" ht="15" customHeight="1">
      <c r="A4" t="s">
        <v>70</v>
      </c>
      <c r="C4">
        <f>IF((((DATASET!$C4='1 · Executive View'!$B$6)+('1 · Executive View'!$B$6=""))*((DATASET!$D4='1 · Executive View'!$D$6)+('1 · Executive View'!$D$6=""))*((DATASET!$E4='1 · Executive View'!$F$6)+('1 · Executive View'!$F$6=""))*((DATASET!$F4='1 · Executive View'!$H$6)+('1 · Executive View'!$H$6=""))*(DATASET!$G4&lt;&gt;""))&gt;0,1,0)</f>
        <v>0</v>
      </c>
      <c r="D4" t="str">
        <f t="shared" si="0"/>
        <v/>
      </c>
      <c r="E4" s="103" t="str">
        <f>IF(C4=1,DATASET!$I4,"")</f>
        <v/>
      </c>
      <c r="F4" t="str">
        <f>IF(((((DATASET!$C4='1 · Executive View'!$B$6)+('1 · Executive View'!$B$6=""))*(DATASET!$D4&lt;&gt;"")*(DATASET!$G4&lt;&gt;""))*(SUMPRODUCT((DATASET!$D$2:$D3=DATASET!$D4)*((DATASET!$C$2:$C3='1 · Executive View'!$B$6)+('1 · Executive View'!$B$6=""))*(DATASET!$D$2:$D3&lt;&gt;"")*(DATASET!$G$2:$G3&lt;&gt;""))=0))&gt;0,DATASET!$D4,"")</f>
        <v/>
      </c>
      <c r="G4" t="str">
        <f t="shared" si="1"/>
        <v/>
      </c>
      <c r="H4" t="str">
        <f>IF(((((DATASET!$C4='1 · Executive View'!$B$6)+('1 · Executive View'!$B$6=""))*((DATASET!$D4='1 · Executive View'!$D$6)+('1 · Executive View'!$D$6=""))*(DATASET!$E4&lt;&gt;"")*(DATASET!$G4&lt;&gt;""))*(SUMPRODUCT((DATASET!$E$2:$E3=DATASET!$E4)*((DATASET!$C$2:$C3='1 · Executive View'!$B$6)+('1 · Executive View'!$B$6=""))*((DATASET!$D$2:$D3='1 · Executive View'!$D$6)+('1 · Executive View'!$D$6=""))*(DATASET!$E$2:$E3&lt;&gt;"")*(DATASET!$G$2:$G3&lt;&gt;""))=0))&gt;0,DATASET!$E4,"")</f>
        <v/>
      </c>
      <c r="I4" t="str">
        <f t="shared" si="2"/>
        <v/>
      </c>
      <c r="J4" t="str">
        <f>IF(((((DATASET!$C4='1 · Executive View'!$B$6)+('1 · Executive View'!$B$6=""))*((DATASET!$D4='1 · Executive View'!$D$6)+('1 · Executive View'!$D$6=""))*((DATASET!$E4='1 · Executive View'!$F$6)+('1 · Executive View'!$F$6=""))*(DATASET!$F4&lt;&gt;"")*(DATASET!$G4&lt;&gt;""))*(SUMPRODUCT((DATASET!$F$2:$F3=DATASET!$F4)*((DATASET!$C$2:$C3='1 · Executive View'!$B$6)+('1 · Executive View'!$B$6=""))*((DATASET!$D$2:$D3='1 · Executive View'!$D$6)+('1 · Executive View'!$D$6=""))*((DATASET!$E$2:$E3='1 · Executive View'!$F$6)+('1 · Executive View'!$F$6=""))*(DATASET!$F$2:$F3&lt;&gt;"")*(DATASET!$G$2:$G3&lt;&gt;""))=0))&gt;0,DATASET!$F4,"")</f>
        <v/>
      </c>
      <c r="K4" t="str">
        <f t="shared" si="3"/>
        <v/>
      </c>
      <c r="N4">
        <f>IF((((DATASET!$C4='2 · Sidebar Studio'!$B$7)+('2 · Sidebar Studio'!$B$7=""))*((DATASET!$D4='2 · Sidebar Studio'!$B$9)+('2 · Sidebar Studio'!$B$9=""))*((DATASET!$E4='2 · Sidebar Studio'!$B$11)+('2 · Sidebar Studio'!$B$11=""))*((DATASET!$F4='2 · Sidebar Studio'!$B$13)+('2 · Sidebar Studio'!$B$13=""))*(DATASET!$G4&lt;&gt;""))&gt;0,1,0)</f>
        <v>1</v>
      </c>
      <c r="O4">
        <f t="shared" si="4"/>
        <v>3</v>
      </c>
      <c r="P4" s="103">
        <f>IF(N4=1,DATASET!$I4,"")</f>
        <v>136994.78</v>
      </c>
      <c r="Q4" t="str">
        <f>IF(((((DATASET!$C4='2 · Sidebar Studio'!$B$7)+('2 · Sidebar Studio'!$B$7=""))*(DATASET!$D4&lt;&gt;"")*(DATASET!$G4&lt;&gt;""))*(SUMPRODUCT((DATASET!$D$2:$D3=DATASET!$D4)*((DATASET!$C$2:$C3='2 · Sidebar Studio'!$B$7)+('2 · Sidebar Studio'!$B$7=""))*(DATASET!$D$2:$D3&lt;&gt;"")*(DATASET!$G$2:$G3&lt;&gt;""))=0))&gt;0,DATASET!$D4,"")</f>
        <v xml:space="preserve">7) Per servizi</v>
      </c>
      <c r="R4">
        <f t="shared" si="5"/>
        <v>3</v>
      </c>
      <c r="S4" t="str">
        <f>IF(((((DATASET!$C4='2 · Sidebar Studio'!$B$7)+('2 · Sidebar Studio'!$B$7=""))*((DATASET!$D4='2 · Sidebar Studio'!$B$9)+('2 · Sidebar Studio'!$B$9=""))*(DATASET!$E4&lt;&gt;"")*(DATASET!$G4&lt;&gt;""))*(SUMPRODUCT((DATASET!$E$2:$E3=DATASET!$E4)*((DATASET!$C$2:$C3='2 · Sidebar Studio'!$B$7)+('2 · Sidebar Studio'!$B$7=""))*((DATASET!$D$2:$D3='2 · Sidebar Studio'!$B$9)+('2 · Sidebar Studio'!$B$9=""))*(DATASET!$E$2:$E3&lt;&gt;"")*(DATASET!$G$2:$G3&lt;&gt;""))=0))&gt;0,DATASET!$E4,"")</f>
        <v/>
      </c>
      <c r="T4" t="str">
        <f t="shared" si="6"/>
        <v/>
      </c>
      <c r="U4" t="str">
        <f>IF(((((DATASET!$C4='2 · Sidebar Studio'!$B$7)+('2 · Sidebar Studio'!$B$7=""))*((DATASET!$D4='2 · Sidebar Studio'!$B$9)+('2 · Sidebar Studio'!$B$9=""))*((DATASET!$E4='2 · Sidebar Studio'!$B$11)+('2 · Sidebar Studio'!$B$11=""))*(DATASET!$F4&lt;&gt;"")*(DATASET!$G4&lt;&gt;""))*(SUMPRODUCT((DATASET!$F$2:$F3=DATASET!$F4)*((DATASET!$C$2:$C3='2 · Sidebar Studio'!$B$7)+('2 · Sidebar Studio'!$B$7=""))*((DATASET!$D$2:$D3='2 · Sidebar Studio'!$B$9)+('2 · Sidebar Studio'!$B$9=""))*((DATASET!$E$2:$E3='2 · Sidebar Studio'!$B$11)+('2 · Sidebar Studio'!$B$11=""))*(DATASET!$F$2:$F3&lt;&gt;"")*(DATASET!$G$2:$G3&lt;&gt;""))=0))&gt;0,DATASET!$F4,"")</f>
        <v/>
      </c>
      <c r="V4" t="str">
        <f t="shared" si="7"/>
        <v/>
      </c>
      <c r="Y4">
        <f>IF((((DATASET!$C4='3 · KPI Cards'!$B$9)+('3 · KPI Cards'!$B$9=""))*((DATASET!$D4='3 · KPI Cards'!$D$9)+('3 · KPI Cards'!$D$9=""))*((DATASET!$E4='3 · KPI Cards'!$F$9)+('3 · KPI Cards'!$F$9=""))*((DATASET!$F4='3 · KPI Cards'!$H$9)+('3 · KPI Cards'!$H$9=""))*(DATASET!$G4&lt;&gt;""))&gt;0,1,0)</f>
        <v>1</v>
      </c>
      <c r="Z4">
        <f t="shared" si="8"/>
        <v>3</v>
      </c>
      <c r="AA4" s="103">
        <f>IF(Y4=1,DATASET!$I4,"")</f>
        <v>136994.78</v>
      </c>
      <c r="AB4" t="str">
        <f>IF(((((DATASET!$C4='3 · KPI Cards'!$B$9)+('3 · KPI Cards'!$B$9=""))*(DATASET!$D4&lt;&gt;"")*(DATASET!$G4&lt;&gt;""))*(SUMPRODUCT((DATASET!$D$2:$D3=DATASET!$D4)*((DATASET!$C$2:$C3='3 · KPI Cards'!$B$9)+('3 · KPI Cards'!$B$9=""))*(DATASET!$D$2:$D3&lt;&gt;"")*(DATASET!$G$2:$G3&lt;&gt;""))=0))&gt;0,DATASET!$D4,"")</f>
        <v xml:space="preserve">7) Per servizi</v>
      </c>
      <c r="AC4">
        <f t="shared" si="9"/>
        <v>3</v>
      </c>
      <c r="AD4" t="str">
        <f>IF(((((DATASET!$C4='3 · KPI Cards'!$B$9)+('3 · KPI Cards'!$B$9=""))*((DATASET!$D4='3 · KPI Cards'!$D$9)+('3 · KPI Cards'!$D$9=""))*(DATASET!$E4&lt;&gt;"")*(DATASET!$G4&lt;&gt;""))*(SUMPRODUCT((DATASET!$E$2:$E3=DATASET!$E4)*((DATASET!$C$2:$C3='3 · KPI Cards'!$B$9)+('3 · KPI Cards'!$B$9=""))*((DATASET!$D$2:$D3='3 · KPI Cards'!$D$9)+('3 · KPI Cards'!$D$9=""))*(DATASET!$E$2:$E3&lt;&gt;"")*(DATASET!$G$2:$G3&lt;&gt;""))=0))&gt;0,DATASET!$E4,"")</f>
        <v/>
      </c>
      <c r="AE4" t="str">
        <f t="shared" si="10"/>
        <v/>
      </c>
      <c r="AF4" t="str">
        <f>IF(((((DATASET!$C4='3 · KPI Cards'!$B$9)+('3 · KPI Cards'!$B$9=""))*((DATASET!$D4='3 · KPI Cards'!$D$9)+('3 · KPI Cards'!$D$9=""))*((DATASET!$E4='3 · KPI Cards'!$F$9)+('3 · KPI Cards'!$F$9=""))*(DATASET!$F4&lt;&gt;"")*(DATASET!$G4&lt;&gt;""))*(SUMPRODUCT((DATASET!$F$2:$F3=DATASET!$F4)*((DATASET!$C$2:$C3='3 · KPI Cards'!$B$9)+('3 · KPI Cards'!$B$9=""))*((DATASET!$D$2:$D3='3 · KPI Cards'!$D$9)+('3 · KPI Cards'!$D$9=""))*((DATASET!$E$2:$E3='3 · KPI Cards'!$F$9)+('3 · KPI Cards'!$F$9=""))*(DATASET!$F$2:$F3&lt;&gt;"")*(DATASET!$G$2:$G3&lt;&gt;""))=0))&gt;0,DATASET!$F4,"")</f>
        <v/>
      </c>
      <c r="AG4" t="str">
        <f t="shared" si="11"/>
        <v/>
      </c>
      <c r="AJ4">
        <f>IF((((DATASET!$C4='4 · Board Report'!$D$5)+('4 · Board Report'!$D$5=""))*((DATASET!$D4='4 · Board Report'!$D$6)+('4 · Board Report'!$D$6=""))*((DATASET!$E4='4 · Board Report'!$D$7)+('4 · Board Report'!$D$7=""))*((DATASET!$F4='4 · Board Report'!$D$8)+('4 · Board Report'!$D$8=""))*(DATASET!$G4&lt;&gt;""))&gt;0,1,0)</f>
        <v>0</v>
      </c>
      <c r="AK4" t="str">
        <f t="shared" si="12"/>
        <v/>
      </c>
      <c r="AL4" s="103" t="str">
        <f>IF(AJ4=1,DATASET!$I4,"")</f>
        <v/>
      </c>
      <c r="AM4" t="str">
        <f>IF(((((DATASET!$C4='4 · Board Report'!$D$5)+('4 · Board Report'!$D$5=""))*(DATASET!$D4&lt;&gt;"")*(DATASET!$G4&lt;&gt;""))*(SUMPRODUCT((DATASET!$D$2:$D3=DATASET!$D4)*((DATASET!$C$2:$C3='4 · Board Report'!$D$5)+('4 · Board Report'!$D$5=""))*(DATASET!$D$2:$D3&lt;&gt;"")*(DATASET!$G$2:$G3&lt;&gt;""))=0))&gt;0,DATASET!$D4,"")</f>
        <v/>
      </c>
      <c r="AN4" t="str">
        <f t="shared" si="13"/>
        <v/>
      </c>
      <c r="AO4" t="str">
        <f>IF(((((DATASET!$C4='4 · Board Report'!$D$5)+('4 · Board Report'!$D$5=""))*((DATASET!$D4='4 · Board Report'!$D$6)+('4 · Board Report'!$D$6=""))*(DATASET!$E4&lt;&gt;"")*(DATASET!$G4&lt;&gt;""))*(SUMPRODUCT((DATASET!$E$2:$E3=DATASET!$E4)*((DATASET!$C$2:$C3='4 · Board Report'!$D$5)+('4 · Board Report'!$D$5=""))*((DATASET!$D$2:$D3='4 · Board Report'!$D$6)+('4 · Board Report'!$D$6=""))*(DATASET!$E$2:$E3&lt;&gt;"")*(DATASET!$G$2:$G3&lt;&gt;""))=0))&gt;0,DATASET!$E4,"")</f>
        <v/>
      </c>
      <c r="AP4" t="str">
        <f t="shared" si="14"/>
        <v/>
      </c>
      <c r="AQ4" t="str">
        <f>IF(((((DATASET!$C4='4 · Board Report'!$D$5)+('4 · Board Report'!$D$5=""))*((DATASET!$D4='4 · Board Report'!$D$6)+('4 · Board Report'!$D$6=""))*((DATASET!$E4='4 · Board Report'!$D$7)+('4 · Board Report'!$D$7=""))*(DATASET!$F4&lt;&gt;"")*(DATASET!$G4&lt;&gt;""))*(SUMPRODUCT((DATASET!$F$2:$F3=DATASET!$F4)*((DATASET!$C$2:$C3='4 · Board Report'!$D$5)+('4 · Board Report'!$D$5=""))*((DATASET!$D$2:$D3='4 · Board Report'!$D$6)+('4 · Board Report'!$D$6=""))*((DATASET!$E$2:$E3='4 · Board Report'!$D$7)+('4 · Board Report'!$D$7=""))*(DATASET!$F$2:$F3&lt;&gt;"")*(DATASET!$G$2:$G3&lt;&gt;""))=0))&gt;0,DATASET!$F4,"")</f>
        <v/>
      </c>
      <c r="AR4" t="str">
        <f t="shared" si="15"/>
        <v/>
      </c>
      <c r="AU4">
        <f>IF((((DATASET!$C4='5 · Modern Console'!$B$4)+('5 · Modern Console'!$B$4=""))*((DATASET!$D4='5 · Modern Console'!$D$4)+('5 · Modern Console'!$D$4=""))*((DATASET!$E4='5 · Modern Console'!$F$4)+('5 · Modern Console'!$F$4=""))*((DATASET!$F4='5 · Modern Console'!$H$4)+('5 · Modern Console'!$H$4=""))*(DATASET!$G4&lt;&gt;""))&gt;0,1,0)</f>
        <v>1</v>
      </c>
      <c r="AV4">
        <f t="shared" si="16"/>
        <v>3</v>
      </c>
      <c r="AW4" s="103">
        <f>IF(AU4=1,DATASET!$I4,"")</f>
        <v>136994.78</v>
      </c>
      <c r="AX4" t="str">
        <f>IF(((((DATASET!$C4='5 · Modern Console'!$B$4)+('5 · Modern Console'!$B$4=""))*(DATASET!$D4&lt;&gt;"")*(DATASET!$G4&lt;&gt;""))*(SUMPRODUCT((DATASET!$D$2:$D3=DATASET!$D4)*((DATASET!$C$2:$C3='5 · Modern Console'!$B$4)+('5 · Modern Console'!$B$4=""))*(DATASET!$D$2:$D3&lt;&gt;"")*(DATASET!$G$2:$G3&lt;&gt;""))=0))&gt;0,DATASET!$D4,"")</f>
        <v xml:space="preserve">7) Per servizi</v>
      </c>
      <c r="AY4">
        <f t="shared" si="17"/>
        <v>3</v>
      </c>
      <c r="AZ4" t="str">
        <f>IF(((((DATASET!$C4='5 · Modern Console'!$B$4)+('5 · Modern Console'!$B$4=""))*((DATASET!$D4='5 · Modern Console'!$D$4)+('5 · Modern Console'!$D$4=""))*(DATASET!$E4&lt;&gt;"")*(DATASET!$G4&lt;&gt;""))*(SUMPRODUCT((DATASET!$E$2:$E3=DATASET!$E4)*((DATASET!$C$2:$C3='5 · Modern Console'!$B$4)+('5 · Modern Console'!$B$4=""))*((DATASET!$D$2:$D3='5 · Modern Console'!$D$4)+('5 · Modern Console'!$D$4=""))*(DATASET!$E$2:$E3&lt;&gt;"")*(DATASET!$G$2:$G3&lt;&gt;""))=0))&gt;0,DATASET!$E4,"")</f>
        <v/>
      </c>
      <c r="BA4" t="str">
        <f t="shared" si="18"/>
        <v/>
      </c>
      <c r="BB4" t="str">
        <f>IF(((((DATASET!$C4='5 · Modern Console'!$B$4)+('5 · Modern Console'!$B$4=""))*((DATASET!$D4='5 · Modern Console'!$D$4)+('5 · Modern Console'!$D$4=""))*((DATASET!$E4='5 · Modern Console'!$F$4)+('5 · Modern Console'!$F$4=""))*(DATASET!$F4&lt;&gt;"")*(DATASET!$G4&lt;&gt;""))*(SUMPRODUCT((DATASET!$F$2:$F3=DATASET!$F4)*((DATASET!$C$2:$C3='5 · Modern Console'!$B$4)+('5 · Modern Console'!$B$4=""))*((DATASET!$D$2:$D3='5 · Modern Console'!$D$4)+('5 · Modern Console'!$D$4=""))*((DATASET!$E$2:$E3='5 · Modern Console'!$F$4)+('5 · Modern Console'!$F$4=""))*(DATASET!$F$2:$F3&lt;&gt;"")*(DATASET!$G$2:$G3&lt;&gt;""))=0))&gt;0,DATASET!$F4,"")</f>
        <v/>
      </c>
      <c r="BC4" t="str">
        <f t="shared" si="19"/>
        <v/>
      </c>
    </row>
    <row r="5" ht="15" customHeight="1">
      <c r="A5" t="s">
        <v>81</v>
      </c>
      <c r="C5">
        <f>IF((((DATASET!$C5='1 · Executive View'!$B$6)+('1 · Executive View'!$B$6=""))*((DATASET!$D5='1 · Executive View'!$D$6)+('1 · Executive View'!$D$6=""))*((DATASET!$E5='1 · Executive View'!$F$6)+('1 · Executive View'!$F$6=""))*((DATASET!$F5='1 · Executive View'!$H$6)+('1 · Executive View'!$H$6=""))*(DATASET!$G5&lt;&gt;""))&gt;0,1,0)</f>
        <v>0</v>
      </c>
      <c r="D5" t="str">
        <f t="shared" si="0"/>
        <v/>
      </c>
      <c r="E5" s="103" t="str">
        <f>IF(C5=1,DATASET!$I5,"")</f>
        <v/>
      </c>
      <c r="F5" t="str">
        <f>IF(((((DATASET!$C5='1 · Executive View'!$B$6)+('1 · Executive View'!$B$6=""))*(DATASET!$D5&lt;&gt;"")*(DATASET!$G5&lt;&gt;""))*(SUMPRODUCT((DATASET!$D$2:$D4=DATASET!$D5)*((DATASET!$C$2:$C4='1 · Executive View'!$B$6)+('1 · Executive View'!$B$6=""))*(DATASET!$D$2:$D4&lt;&gt;"")*(DATASET!$G$2:$G4&lt;&gt;""))=0))&gt;0,DATASET!$D5,"")</f>
        <v/>
      </c>
      <c r="G5" t="str">
        <f t="shared" si="1"/>
        <v/>
      </c>
      <c r="H5" t="str">
        <f>IF(((((DATASET!$C5='1 · Executive View'!$B$6)+('1 · Executive View'!$B$6=""))*((DATASET!$D5='1 · Executive View'!$D$6)+('1 · Executive View'!$D$6=""))*(DATASET!$E5&lt;&gt;"")*(DATASET!$G5&lt;&gt;""))*(SUMPRODUCT((DATASET!$E$2:$E4=DATASET!$E5)*((DATASET!$C$2:$C4='1 · Executive View'!$B$6)+('1 · Executive View'!$B$6=""))*((DATASET!$D$2:$D4='1 · Executive View'!$D$6)+('1 · Executive View'!$D$6=""))*(DATASET!$E$2:$E4&lt;&gt;"")*(DATASET!$G$2:$G4&lt;&gt;""))=0))&gt;0,DATASET!$E5,"")</f>
        <v/>
      </c>
      <c r="I5" t="str">
        <f t="shared" si="2"/>
        <v/>
      </c>
      <c r="J5" t="str">
        <f>IF(((((DATASET!$C5='1 · Executive View'!$B$6)+('1 · Executive View'!$B$6=""))*((DATASET!$D5='1 · Executive View'!$D$6)+('1 · Executive View'!$D$6=""))*((DATASET!$E5='1 · Executive View'!$F$6)+('1 · Executive View'!$F$6=""))*(DATASET!$F5&lt;&gt;"")*(DATASET!$G5&lt;&gt;""))*(SUMPRODUCT((DATASET!$F$2:$F4=DATASET!$F5)*((DATASET!$C$2:$C4='1 · Executive View'!$B$6)+('1 · Executive View'!$B$6=""))*((DATASET!$D$2:$D4='1 · Executive View'!$D$6)+('1 · Executive View'!$D$6=""))*((DATASET!$E$2:$E4='1 · Executive View'!$F$6)+('1 · Executive View'!$F$6=""))*(DATASET!$F$2:$F4&lt;&gt;"")*(DATASET!$G$2:$G4&lt;&gt;""))=0))&gt;0,DATASET!$F5,"")</f>
        <v/>
      </c>
      <c r="K5" t="str">
        <f t="shared" si="3"/>
        <v/>
      </c>
      <c r="N5">
        <f>IF((((DATASET!$C5='2 · Sidebar Studio'!$B$7)+('2 · Sidebar Studio'!$B$7=""))*((DATASET!$D5='2 · Sidebar Studio'!$B$9)+('2 · Sidebar Studio'!$B$9=""))*((DATASET!$E5='2 · Sidebar Studio'!$B$11)+('2 · Sidebar Studio'!$B$11=""))*((DATASET!$F5='2 · Sidebar Studio'!$B$13)+('2 · Sidebar Studio'!$B$13=""))*(DATASET!$G5&lt;&gt;""))&gt;0,1,0)</f>
        <v>1</v>
      </c>
      <c r="O5">
        <f t="shared" si="4"/>
        <v>4</v>
      </c>
      <c r="P5" s="103">
        <f>IF(N5=1,DATASET!$I5,"")</f>
        <v>5367.0200000000004</v>
      </c>
      <c r="Q5" t="str">
        <f>IF(((((DATASET!$C5='2 · Sidebar Studio'!$B$7)+('2 · Sidebar Studio'!$B$7=""))*(DATASET!$D5&lt;&gt;"")*(DATASET!$G5&lt;&gt;""))*(SUMPRODUCT((DATASET!$D$2:$D4=DATASET!$D5)*((DATASET!$C$2:$C4='2 · Sidebar Studio'!$B$7)+('2 · Sidebar Studio'!$B$7=""))*(DATASET!$D$2:$D4&lt;&gt;"")*(DATASET!$G$2:$G4&lt;&gt;""))=0))&gt;0,DATASET!$D5,"")</f>
        <v/>
      </c>
      <c r="R5" t="str">
        <f t="shared" si="5"/>
        <v/>
      </c>
      <c r="S5" t="str">
        <f>IF(((((DATASET!$C5='2 · Sidebar Studio'!$B$7)+('2 · Sidebar Studio'!$B$7=""))*((DATASET!$D5='2 · Sidebar Studio'!$B$9)+('2 · Sidebar Studio'!$B$9=""))*(DATASET!$E5&lt;&gt;"")*(DATASET!$G5&lt;&gt;""))*(SUMPRODUCT((DATASET!$E$2:$E4=DATASET!$E5)*((DATASET!$C$2:$C4='2 · Sidebar Studio'!$B$7)+('2 · Sidebar Studio'!$B$7=""))*((DATASET!$D$2:$D4='2 · Sidebar Studio'!$B$9)+('2 · Sidebar Studio'!$B$9=""))*(DATASET!$E$2:$E4&lt;&gt;"")*(DATASET!$G$2:$G4&lt;&gt;""))=0))&gt;0,DATASET!$E5,"")</f>
        <v/>
      </c>
      <c r="T5" t="str">
        <f t="shared" si="6"/>
        <v/>
      </c>
      <c r="U5" t="str">
        <f>IF(((((DATASET!$C5='2 · Sidebar Studio'!$B$7)+('2 · Sidebar Studio'!$B$7=""))*((DATASET!$D5='2 · Sidebar Studio'!$B$9)+('2 · Sidebar Studio'!$B$9=""))*((DATASET!$E5='2 · Sidebar Studio'!$B$11)+('2 · Sidebar Studio'!$B$11=""))*(DATASET!$F5&lt;&gt;"")*(DATASET!$G5&lt;&gt;""))*(SUMPRODUCT((DATASET!$F$2:$F4=DATASET!$F5)*((DATASET!$C$2:$C4='2 · Sidebar Studio'!$B$7)+('2 · Sidebar Studio'!$B$7=""))*((DATASET!$D$2:$D4='2 · Sidebar Studio'!$B$9)+('2 · Sidebar Studio'!$B$9=""))*((DATASET!$E$2:$E4='2 · Sidebar Studio'!$B$11)+('2 · Sidebar Studio'!$B$11=""))*(DATASET!$F$2:$F4&lt;&gt;"")*(DATASET!$G$2:$G4&lt;&gt;""))=0))&gt;0,DATASET!$F5,"")</f>
        <v/>
      </c>
      <c r="V5" t="str">
        <f t="shared" si="7"/>
        <v/>
      </c>
      <c r="Y5">
        <f>IF((((DATASET!$C5='3 · KPI Cards'!$B$9)+('3 · KPI Cards'!$B$9=""))*((DATASET!$D5='3 · KPI Cards'!$D$9)+('3 · KPI Cards'!$D$9=""))*((DATASET!$E5='3 · KPI Cards'!$F$9)+('3 · KPI Cards'!$F$9=""))*((DATASET!$F5='3 · KPI Cards'!$H$9)+('3 · KPI Cards'!$H$9=""))*(DATASET!$G5&lt;&gt;""))&gt;0,1,0)</f>
        <v>1</v>
      </c>
      <c r="Z5">
        <f t="shared" si="8"/>
        <v>4</v>
      </c>
      <c r="AA5" s="103">
        <f>IF(Y5=1,DATASET!$I5,"")</f>
        <v>5367.0200000000004</v>
      </c>
      <c r="AB5" t="str">
        <f>IF(((((DATASET!$C5='3 · KPI Cards'!$B$9)+('3 · KPI Cards'!$B$9=""))*(DATASET!$D5&lt;&gt;"")*(DATASET!$G5&lt;&gt;""))*(SUMPRODUCT((DATASET!$D$2:$D4=DATASET!$D5)*((DATASET!$C$2:$C4='3 · KPI Cards'!$B$9)+('3 · KPI Cards'!$B$9=""))*(DATASET!$D$2:$D4&lt;&gt;"")*(DATASET!$G$2:$G4&lt;&gt;""))=0))&gt;0,DATASET!$D5,"")</f>
        <v/>
      </c>
      <c r="AC5" t="str">
        <f t="shared" si="9"/>
        <v/>
      </c>
      <c r="AD5" t="str">
        <f>IF(((((DATASET!$C5='3 · KPI Cards'!$B$9)+('3 · KPI Cards'!$B$9=""))*((DATASET!$D5='3 · KPI Cards'!$D$9)+('3 · KPI Cards'!$D$9=""))*(DATASET!$E5&lt;&gt;"")*(DATASET!$G5&lt;&gt;""))*(SUMPRODUCT((DATASET!$E$2:$E4=DATASET!$E5)*((DATASET!$C$2:$C4='3 · KPI Cards'!$B$9)+('3 · KPI Cards'!$B$9=""))*((DATASET!$D$2:$D4='3 · KPI Cards'!$D$9)+('3 · KPI Cards'!$D$9=""))*(DATASET!$E$2:$E4&lt;&gt;"")*(DATASET!$G$2:$G4&lt;&gt;""))=0))&gt;0,DATASET!$E5,"")</f>
        <v/>
      </c>
      <c r="AE5" t="str">
        <f t="shared" si="10"/>
        <v/>
      </c>
      <c r="AF5" t="str">
        <f>IF(((((DATASET!$C5='3 · KPI Cards'!$B$9)+('3 · KPI Cards'!$B$9=""))*((DATASET!$D5='3 · KPI Cards'!$D$9)+('3 · KPI Cards'!$D$9=""))*((DATASET!$E5='3 · KPI Cards'!$F$9)+('3 · KPI Cards'!$F$9=""))*(DATASET!$F5&lt;&gt;"")*(DATASET!$G5&lt;&gt;""))*(SUMPRODUCT((DATASET!$F$2:$F4=DATASET!$F5)*((DATASET!$C$2:$C4='3 · KPI Cards'!$B$9)+('3 · KPI Cards'!$B$9=""))*((DATASET!$D$2:$D4='3 · KPI Cards'!$D$9)+('3 · KPI Cards'!$D$9=""))*((DATASET!$E$2:$E4='3 · KPI Cards'!$F$9)+('3 · KPI Cards'!$F$9=""))*(DATASET!$F$2:$F4&lt;&gt;"")*(DATASET!$G$2:$G4&lt;&gt;""))=0))&gt;0,DATASET!$F5,"")</f>
        <v/>
      </c>
      <c r="AG5" t="str">
        <f t="shared" si="11"/>
        <v/>
      </c>
      <c r="AJ5">
        <f>IF((((DATASET!$C5='4 · Board Report'!$D$5)+('4 · Board Report'!$D$5=""))*((DATASET!$D5='4 · Board Report'!$D$6)+('4 · Board Report'!$D$6=""))*((DATASET!$E5='4 · Board Report'!$D$7)+('4 · Board Report'!$D$7=""))*((DATASET!$F5='4 · Board Report'!$D$8)+('4 · Board Report'!$D$8=""))*(DATASET!$G5&lt;&gt;""))&gt;0,1,0)</f>
        <v>0</v>
      </c>
      <c r="AK5" t="str">
        <f t="shared" si="12"/>
        <v/>
      </c>
      <c r="AL5" s="103" t="str">
        <f>IF(AJ5=1,DATASET!$I5,"")</f>
        <v/>
      </c>
      <c r="AM5" t="str">
        <f>IF(((((DATASET!$C5='4 · Board Report'!$D$5)+('4 · Board Report'!$D$5=""))*(DATASET!$D5&lt;&gt;"")*(DATASET!$G5&lt;&gt;""))*(SUMPRODUCT((DATASET!$D$2:$D4=DATASET!$D5)*((DATASET!$C$2:$C4='4 · Board Report'!$D$5)+('4 · Board Report'!$D$5=""))*(DATASET!$D$2:$D4&lt;&gt;"")*(DATASET!$G$2:$G4&lt;&gt;""))=0))&gt;0,DATASET!$D5,"")</f>
        <v/>
      </c>
      <c r="AN5" t="str">
        <f t="shared" si="13"/>
        <v/>
      </c>
      <c r="AO5" t="str">
        <f>IF(((((DATASET!$C5='4 · Board Report'!$D$5)+('4 · Board Report'!$D$5=""))*((DATASET!$D5='4 · Board Report'!$D$6)+('4 · Board Report'!$D$6=""))*(DATASET!$E5&lt;&gt;"")*(DATASET!$G5&lt;&gt;""))*(SUMPRODUCT((DATASET!$E$2:$E4=DATASET!$E5)*((DATASET!$C$2:$C4='4 · Board Report'!$D$5)+('4 · Board Report'!$D$5=""))*((DATASET!$D$2:$D4='4 · Board Report'!$D$6)+('4 · Board Report'!$D$6=""))*(DATASET!$E$2:$E4&lt;&gt;"")*(DATASET!$G$2:$G4&lt;&gt;""))=0))&gt;0,DATASET!$E5,"")</f>
        <v/>
      </c>
      <c r="AP5" t="str">
        <f t="shared" si="14"/>
        <v/>
      </c>
      <c r="AQ5" t="str">
        <f>IF(((((DATASET!$C5='4 · Board Report'!$D$5)+('4 · Board Report'!$D$5=""))*((DATASET!$D5='4 · Board Report'!$D$6)+('4 · Board Report'!$D$6=""))*((DATASET!$E5='4 · Board Report'!$D$7)+('4 · Board Report'!$D$7=""))*(DATASET!$F5&lt;&gt;"")*(DATASET!$G5&lt;&gt;""))*(SUMPRODUCT((DATASET!$F$2:$F4=DATASET!$F5)*((DATASET!$C$2:$C4='4 · Board Report'!$D$5)+('4 · Board Report'!$D$5=""))*((DATASET!$D$2:$D4='4 · Board Report'!$D$6)+('4 · Board Report'!$D$6=""))*((DATASET!$E$2:$E4='4 · Board Report'!$D$7)+('4 · Board Report'!$D$7=""))*(DATASET!$F$2:$F4&lt;&gt;"")*(DATASET!$G$2:$G4&lt;&gt;""))=0))&gt;0,DATASET!$F5,"")</f>
        <v/>
      </c>
      <c r="AR5" t="str">
        <f t="shared" si="15"/>
        <v/>
      </c>
      <c r="AU5">
        <f>IF((((DATASET!$C5='5 · Modern Console'!$B$4)+('5 · Modern Console'!$B$4=""))*((DATASET!$D5='5 · Modern Console'!$D$4)+('5 · Modern Console'!$D$4=""))*((DATASET!$E5='5 · Modern Console'!$F$4)+('5 · Modern Console'!$F$4=""))*((DATASET!$F5='5 · Modern Console'!$H$4)+('5 · Modern Console'!$H$4=""))*(DATASET!$G5&lt;&gt;""))&gt;0,1,0)</f>
        <v>1</v>
      </c>
      <c r="AV5">
        <f t="shared" si="16"/>
        <v>4</v>
      </c>
      <c r="AW5" s="103">
        <f>IF(AU5=1,DATASET!$I5,"")</f>
        <v>5367.0200000000004</v>
      </c>
      <c r="AX5" t="str">
        <f>IF(((((DATASET!$C5='5 · Modern Console'!$B$4)+('5 · Modern Console'!$B$4=""))*(DATASET!$D5&lt;&gt;"")*(DATASET!$G5&lt;&gt;""))*(SUMPRODUCT((DATASET!$D$2:$D4=DATASET!$D5)*((DATASET!$C$2:$C4='5 · Modern Console'!$B$4)+('5 · Modern Console'!$B$4=""))*(DATASET!$D$2:$D4&lt;&gt;"")*(DATASET!$G$2:$G4&lt;&gt;""))=0))&gt;0,DATASET!$D5,"")</f>
        <v/>
      </c>
      <c r="AY5" t="str">
        <f t="shared" si="17"/>
        <v/>
      </c>
      <c r="AZ5" t="str">
        <f>IF(((((DATASET!$C5='5 · Modern Console'!$B$4)+('5 · Modern Console'!$B$4=""))*((DATASET!$D5='5 · Modern Console'!$D$4)+('5 · Modern Console'!$D$4=""))*(DATASET!$E5&lt;&gt;"")*(DATASET!$G5&lt;&gt;""))*(SUMPRODUCT((DATASET!$E$2:$E4=DATASET!$E5)*((DATASET!$C$2:$C4='5 · Modern Console'!$B$4)+('5 · Modern Console'!$B$4=""))*((DATASET!$D$2:$D4='5 · Modern Console'!$D$4)+('5 · Modern Console'!$D$4=""))*(DATASET!$E$2:$E4&lt;&gt;"")*(DATASET!$G$2:$G4&lt;&gt;""))=0))&gt;0,DATASET!$E5,"")</f>
        <v/>
      </c>
      <c r="BA5" t="str">
        <f t="shared" si="18"/>
        <v/>
      </c>
      <c r="BB5" t="str">
        <f>IF(((((DATASET!$C5='5 · Modern Console'!$B$4)+('5 · Modern Console'!$B$4=""))*((DATASET!$D5='5 · Modern Console'!$D$4)+('5 · Modern Console'!$D$4=""))*((DATASET!$E5='5 · Modern Console'!$F$4)+('5 · Modern Console'!$F$4=""))*(DATASET!$F5&lt;&gt;"")*(DATASET!$G5&lt;&gt;""))*(SUMPRODUCT((DATASET!$F$2:$F4=DATASET!$F5)*((DATASET!$C$2:$C4='5 · Modern Console'!$B$4)+('5 · Modern Console'!$B$4=""))*((DATASET!$D$2:$D4='5 · Modern Console'!$D$4)+('5 · Modern Console'!$D$4=""))*((DATASET!$E$2:$E4='5 · Modern Console'!$F$4)+('5 · Modern Console'!$F$4=""))*(DATASET!$F$2:$F4&lt;&gt;"")*(DATASET!$G$2:$G4&lt;&gt;""))=0))&gt;0,DATASET!$F5,"")</f>
        <v/>
      </c>
      <c r="BC5" t="str">
        <f t="shared" si="19"/>
        <v/>
      </c>
    </row>
    <row r="6" ht="15" customHeight="1">
      <c r="A6" t="s">
        <v>6</v>
      </c>
      <c r="C6">
        <f>IF((((DATASET!$C6='1 · Executive View'!$B$6)+('1 · Executive View'!$B$6=""))*((DATASET!$D6='1 · Executive View'!$D$6)+('1 · Executive View'!$D$6=""))*((DATASET!$E6='1 · Executive View'!$F$6)+('1 · Executive View'!$F$6=""))*((DATASET!$F6='1 · Executive View'!$H$6)+('1 · Executive View'!$H$6=""))*(DATASET!$G6&lt;&gt;""))&gt;0,1,0)</f>
        <v>0</v>
      </c>
      <c r="D6" t="str">
        <f t="shared" si="0"/>
        <v/>
      </c>
      <c r="E6" s="103" t="str">
        <f>IF(C6=1,DATASET!$I6,"")</f>
        <v/>
      </c>
      <c r="F6" t="str">
        <f>IF(((((DATASET!$C6='1 · Executive View'!$B$6)+('1 · Executive View'!$B$6=""))*(DATASET!$D6&lt;&gt;"")*(DATASET!$G6&lt;&gt;""))*(SUMPRODUCT((DATASET!$D$2:$D5=DATASET!$D6)*((DATASET!$C$2:$C5='1 · Executive View'!$B$6)+('1 · Executive View'!$B$6=""))*(DATASET!$D$2:$D5&lt;&gt;"")*(DATASET!$G$2:$G5&lt;&gt;""))=0))&gt;0,DATASET!$D6,"")</f>
        <v/>
      </c>
      <c r="G6" t="str">
        <f t="shared" si="1"/>
        <v/>
      </c>
      <c r="H6" t="str">
        <f>IF(((((DATASET!$C6='1 · Executive View'!$B$6)+('1 · Executive View'!$B$6=""))*((DATASET!$D6='1 · Executive View'!$D$6)+('1 · Executive View'!$D$6=""))*(DATASET!$E6&lt;&gt;"")*(DATASET!$G6&lt;&gt;""))*(SUMPRODUCT((DATASET!$E$2:$E5=DATASET!$E6)*((DATASET!$C$2:$C5='1 · Executive View'!$B$6)+('1 · Executive View'!$B$6=""))*((DATASET!$D$2:$D5='1 · Executive View'!$D$6)+('1 · Executive View'!$D$6=""))*(DATASET!$E$2:$E5&lt;&gt;"")*(DATASET!$G$2:$G5&lt;&gt;""))=0))&gt;0,DATASET!$E6,"")</f>
        <v/>
      </c>
      <c r="I6" t="str">
        <f t="shared" si="2"/>
        <v/>
      </c>
      <c r="J6" t="str">
        <f>IF(((((DATASET!$C6='1 · Executive View'!$B$6)+('1 · Executive View'!$B$6=""))*((DATASET!$D6='1 · Executive View'!$D$6)+('1 · Executive View'!$D$6=""))*((DATASET!$E6='1 · Executive View'!$F$6)+('1 · Executive View'!$F$6=""))*(DATASET!$F6&lt;&gt;"")*(DATASET!$G6&lt;&gt;""))*(SUMPRODUCT((DATASET!$F$2:$F5=DATASET!$F6)*((DATASET!$C$2:$C5='1 · Executive View'!$B$6)+('1 · Executive View'!$B$6=""))*((DATASET!$D$2:$D5='1 · Executive View'!$D$6)+('1 · Executive View'!$D$6=""))*((DATASET!$E$2:$E5='1 · Executive View'!$F$6)+('1 · Executive View'!$F$6=""))*(DATASET!$F$2:$F5&lt;&gt;"")*(DATASET!$G$2:$G5&lt;&gt;""))=0))&gt;0,DATASET!$F6,"")</f>
        <v/>
      </c>
      <c r="K6" t="str">
        <f t="shared" si="3"/>
        <v/>
      </c>
      <c r="N6">
        <f>IF((((DATASET!$C6='2 · Sidebar Studio'!$B$7)+('2 · Sidebar Studio'!$B$7=""))*((DATASET!$D6='2 · Sidebar Studio'!$B$9)+('2 · Sidebar Studio'!$B$9=""))*((DATASET!$E6='2 · Sidebar Studio'!$B$11)+('2 · Sidebar Studio'!$B$11=""))*((DATASET!$F6='2 · Sidebar Studio'!$B$13)+('2 · Sidebar Studio'!$B$13=""))*(DATASET!$G6&lt;&gt;""))&gt;0,1,0)</f>
        <v>1</v>
      </c>
      <c r="O6">
        <f t="shared" si="4"/>
        <v>5</v>
      </c>
      <c r="P6" s="103">
        <f>IF(N6=1,DATASET!$I6,"")</f>
        <v>153.75</v>
      </c>
      <c r="Q6" t="str">
        <f>IF(((((DATASET!$C6='2 · Sidebar Studio'!$B$7)+('2 · Sidebar Studio'!$B$7=""))*(DATASET!$D6&lt;&gt;"")*(DATASET!$G6&lt;&gt;""))*(SUMPRODUCT((DATASET!$D$2:$D5=DATASET!$D6)*((DATASET!$C$2:$C5='2 · Sidebar Studio'!$B$7)+('2 · Sidebar Studio'!$B$7=""))*(DATASET!$D$2:$D5&lt;&gt;"")*(DATASET!$G$2:$G5&lt;&gt;""))=0))&gt;0,DATASET!$D6,"")</f>
        <v/>
      </c>
      <c r="R6" t="str">
        <f t="shared" si="5"/>
        <v/>
      </c>
      <c r="S6" t="str">
        <f>IF(((((DATASET!$C6='2 · Sidebar Studio'!$B$7)+('2 · Sidebar Studio'!$B$7=""))*((DATASET!$D6='2 · Sidebar Studio'!$B$9)+('2 · Sidebar Studio'!$B$9=""))*(DATASET!$E6&lt;&gt;"")*(DATASET!$G6&lt;&gt;""))*(SUMPRODUCT((DATASET!$E$2:$E5=DATASET!$E6)*((DATASET!$C$2:$C5='2 · Sidebar Studio'!$B$7)+('2 · Sidebar Studio'!$B$7=""))*((DATASET!$D$2:$D5='2 · Sidebar Studio'!$B$9)+('2 · Sidebar Studio'!$B$9=""))*(DATASET!$E$2:$E5&lt;&gt;"")*(DATASET!$G$2:$G5&lt;&gt;""))=0))&gt;0,DATASET!$E6,"")</f>
        <v/>
      </c>
      <c r="T6" t="str">
        <f t="shared" si="6"/>
        <v/>
      </c>
      <c r="U6" t="str">
        <f>IF(((((DATASET!$C6='2 · Sidebar Studio'!$B$7)+('2 · Sidebar Studio'!$B$7=""))*((DATASET!$D6='2 · Sidebar Studio'!$B$9)+('2 · Sidebar Studio'!$B$9=""))*((DATASET!$E6='2 · Sidebar Studio'!$B$11)+('2 · Sidebar Studio'!$B$11=""))*(DATASET!$F6&lt;&gt;"")*(DATASET!$G6&lt;&gt;""))*(SUMPRODUCT((DATASET!$F$2:$F5=DATASET!$F6)*((DATASET!$C$2:$C5='2 · Sidebar Studio'!$B$7)+('2 · Sidebar Studio'!$B$7=""))*((DATASET!$D$2:$D5='2 · Sidebar Studio'!$B$9)+('2 · Sidebar Studio'!$B$9=""))*((DATASET!$E$2:$E5='2 · Sidebar Studio'!$B$11)+('2 · Sidebar Studio'!$B$11=""))*(DATASET!$F$2:$F5&lt;&gt;"")*(DATASET!$G$2:$G5&lt;&gt;""))=0))&gt;0,DATASET!$F6,"")</f>
        <v/>
      </c>
      <c r="V6" t="str">
        <f t="shared" si="7"/>
        <v/>
      </c>
      <c r="Y6">
        <f>IF((((DATASET!$C6='3 · KPI Cards'!$B$9)+('3 · KPI Cards'!$B$9=""))*((DATASET!$D6='3 · KPI Cards'!$D$9)+('3 · KPI Cards'!$D$9=""))*((DATASET!$E6='3 · KPI Cards'!$F$9)+('3 · KPI Cards'!$F$9=""))*((DATASET!$F6='3 · KPI Cards'!$H$9)+('3 · KPI Cards'!$H$9=""))*(DATASET!$G6&lt;&gt;""))&gt;0,1,0)</f>
        <v>1</v>
      </c>
      <c r="Z6">
        <f t="shared" si="8"/>
        <v>5</v>
      </c>
      <c r="AA6" s="103">
        <f>IF(Y6=1,DATASET!$I6,"")</f>
        <v>153.75</v>
      </c>
      <c r="AB6" t="str">
        <f>IF(((((DATASET!$C6='3 · KPI Cards'!$B$9)+('3 · KPI Cards'!$B$9=""))*(DATASET!$D6&lt;&gt;"")*(DATASET!$G6&lt;&gt;""))*(SUMPRODUCT((DATASET!$D$2:$D5=DATASET!$D6)*((DATASET!$C$2:$C5='3 · KPI Cards'!$B$9)+('3 · KPI Cards'!$B$9=""))*(DATASET!$D$2:$D5&lt;&gt;"")*(DATASET!$G$2:$G5&lt;&gt;""))=0))&gt;0,DATASET!$D6,"")</f>
        <v/>
      </c>
      <c r="AC6" t="str">
        <f t="shared" si="9"/>
        <v/>
      </c>
      <c r="AD6" t="str">
        <f>IF(((((DATASET!$C6='3 · KPI Cards'!$B$9)+('3 · KPI Cards'!$B$9=""))*((DATASET!$D6='3 · KPI Cards'!$D$9)+('3 · KPI Cards'!$D$9=""))*(DATASET!$E6&lt;&gt;"")*(DATASET!$G6&lt;&gt;""))*(SUMPRODUCT((DATASET!$E$2:$E5=DATASET!$E6)*((DATASET!$C$2:$C5='3 · KPI Cards'!$B$9)+('3 · KPI Cards'!$B$9=""))*((DATASET!$D$2:$D5='3 · KPI Cards'!$D$9)+('3 · KPI Cards'!$D$9=""))*(DATASET!$E$2:$E5&lt;&gt;"")*(DATASET!$G$2:$G5&lt;&gt;""))=0))&gt;0,DATASET!$E6,"")</f>
        <v/>
      </c>
      <c r="AE6" t="str">
        <f t="shared" si="10"/>
        <v/>
      </c>
      <c r="AF6" t="str">
        <f>IF(((((DATASET!$C6='3 · KPI Cards'!$B$9)+('3 · KPI Cards'!$B$9=""))*((DATASET!$D6='3 · KPI Cards'!$D$9)+('3 · KPI Cards'!$D$9=""))*((DATASET!$E6='3 · KPI Cards'!$F$9)+('3 · KPI Cards'!$F$9=""))*(DATASET!$F6&lt;&gt;"")*(DATASET!$G6&lt;&gt;""))*(SUMPRODUCT((DATASET!$F$2:$F5=DATASET!$F6)*((DATASET!$C$2:$C5='3 · KPI Cards'!$B$9)+('3 · KPI Cards'!$B$9=""))*((DATASET!$D$2:$D5='3 · KPI Cards'!$D$9)+('3 · KPI Cards'!$D$9=""))*((DATASET!$E$2:$E5='3 · KPI Cards'!$F$9)+('3 · KPI Cards'!$F$9=""))*(DATASET!$F$2:$F5&lt;&gt;"")*(DATASET!$G$2:$G5&lt;&gt;""))=0))&gt;0,DATASET!$F6,"")</f>
        <v/>
      </c>
      <c r="AG6" t="str">
        <f t="shared" si="11"/>
        <v/>
      </c>
      <c r="AJ6">
        <f>IF((((DATASET!$C6='4 · Board Report'!$D$5)+('4 · Board Report'!$D$5=""))*((DATASET!$D6='4 · Board Report'!$D$6)+('4 · Board Report'!$D$6=""))*((DATASET!$E6='4 · Board Report'!$D$7)+('4 · Board Report'!$D$7=""))*((DATASET!$F6='4 · Board Report'!$D$8)+('4 · Board Report'!$D$8=""))*(DATASET!$G6&lt;&gt;""))&gt;0,1,0)</f>
        <v>0</v>
      </c>
      <c r="AK6" t="str">
        <f t="shared" si="12"/>
        <v/>
      </c>
      <c r="AL6" s="103" t="str">
        <f>IF(AJ6=1,DATASET!$I6,"")</f>
        <v/>
      </c>
      <c r="AM6" t="str">
        <f>IF(((((DATASET!$C6='4 · Board Report'!$D$5)+('4 · Board Report'!$D$5=""))*(DATASET!$D6&lt;&gt;"")*(DATASET!$G6&lt;&gt;""))*(SUMPRODUCT((DATASET!$D$2:$D5=DATASET!$D6)*((DATASET!$C$2:$C5='4 · Board Report'!$D$5)+('4 · Board Report'!$D$5=""))*(DATASET!$D$2:$D5&lt;&gt;"")*(DATASET!$G$2:$G5&lt;&gt;""))=0))&gt;0,DATASET!$D6,"")</f>
        <v/>
      </c>
      <c r="AN6" t="str">
        <f t="shared" si="13"/>
        <v/>
      </c>
      <c r="AO6" t="str">
        <f>IF(((((DATASET!$C6='4 · Board Report'!$D$5)+('4 · Board Report'!$D$5=""))*((DATASET!$D6='4 · Board Report'!$D$6)+('4 · Board Report'!$D$6=""))*(DATASET!$E6&lt;&gt;"")*(DATASET!$G6&lt;&gt;""))*(SUMPRODUCT((DATASET!$E$2:$E5=DATASET!$E6)*((DATASET!$C$2:$C5='4 · Board Report'!$D$5)+('4 · Board Report'!$D$5=""))*((DATASET!$D$2:$D5='4 · Board Report'!$D$6)+('4 · Board Report'!$D$6=""))*(DATASET!$E$2:$E5&lt;&gt;"")*(DATASET!$G$2:$G5&lt;&gt;""))=0))&gt;0,DATASET!$E6,"")</f>
        <v/>
      </c>
      <c r="AP6" t="str">
        <f t="shared" si="14"/>
        <v/>
      </c>
      <c r="AQ6" t="str">
        <f>IF(((((DATASET!$C6='4 · Board Report'!$D$5)+('4 · Board Report'!$D$5=""))*((DATASET!$D6='4 · Board Report'!$D$6)+('4 · Board Report'!$D$6=""))*((DATASET!$E6='4 · Board Report'!$D$7)+('4 · Board Report'!$D$7=""))*(DATASET!$F6&lt;&gt;"")*(DATASET!$G6&lt;&gt;""))*(SUMPRODUCT((DATASET!$F$2:$F5=DATASET!$F6)*((DATASET!$C$2:$C5='4 · Board Report'!$D$5)+('4 · Board Report'!$D$5=""))*((DATASET!$D$2:$D5='4 · Board Report'!$D$6)+('4 · Board Report'!$D$6=""))*((DATASET!$E$2:$E5='4 · Board Report'!$D$7)+('4 · Board Report'!$D$7=""))*(DATASET!$F$2:$F5&lt;&gt;"")*(DATASET!$G$2:$G5&lt;&gt;""))=0))&gt;0,DATASET!$F6,"")</f>
        <v/>
      </c>
      <c r="AR6" t="str">
        <f t="shared" si="15"/>
        <v/>
      </c>
      <c r="AU6">
        <f>IF((((DATASET!$C6='5 · Modern Console'!$B$4)+('5 · Modern Console'!$B$4=""))*((DATASET!$D6='5 · Modern Console'!$D$4)+('5 · Modern Console'!$D$4=""))*((DATASET!$E6='5 · Modern Console'!$F$4)+('5 · Modern Console'!$F$4=""))*((DATASET!$F6='5 · Modern Console'!$H$4)+('5 · Modern Console'!$H$4=""))*(DATASET!$G6&lt;&gt;""))&gt;0,1,0)</f>
        <v>1</v>
      </c>
      <c r="AV6">
        <f t="shared" si="16"/>
        <v>5</v>
      </c>
      <c r="AW6" s="103">
        <f>IF(AU6=1,DATASET!$I6,"")</f>
        <v>153.75</v>
      </c>
      <c r="AX6" t="str">
        <f>IF(((((DATASET!$C6='5 · Modern Console'!$B$4)+('5 · Modern Console'!$B$4=""))*(DATASET!$D6&lt;&gt;"")*(DATASET!$G6&lt;&gt;""))*(SUMPRODUCT((DATASET!$D$2:$D5=DATASET!$D6)*((DATASET!$C$2:$C5='5 · Modern Console'!$B$4)+('5 · Modern Console'!$B$4=""))*(DATASET!$D$2:$D5&lt;&gt;"")*(DATASET!$G$2:$G5&lt;&gt;""))=0))&gt;0,DATASET!$D6,"")</f>
        <v/>
      </c>
      <c r="AY6" t="str">
        <f t="shared" si="17"/>
        <v/>
      </c>
      <c r="AZ6" t="str">
        <f>IF(((((DATASET!$C6='5 · Modern Console'!$B$4)+('5 · Modern Console'!$B$4=""))*((DATASET!$D6='5 · Modern Console'!$D$4)+('5 · Modern Console'!$D$4=""))*(DATASET!$E6&lt;&gt;"")*(DATASET!$G6&lt;&gt;""))*(SUMPRODUCT((DATASET!$E$2:$E5=DATASET!$E6)*((DATASET!$C$2:$C5='5 · Modern Console'!$B$4)+('5 · Modern Console'!$B$4=""))*((DATASET!$D$2:$D5='5 · Modern Console'!$D$4)+('5 · Modern Console'!$D$4=""))*(DATASET!$E$2:$E5&lt;&gt;"")*(DATASET!$G$2:$G5&lt;&gt;""))=0))&gt;0,DATASET!$E6,"")</f>
        <v/>
      </c>
      <c r="BA6" t="str">
        <f t="shared" si="18"/>
        <v/>
      </c>
      <c r="BB6" t="str">
        <f>IF(((((DATASET!$C6='5 · Modern Console'!$B$4)+('5 · Modern Console'!$B$4=""))*((DATASET!$D6='5 · Modern Console'!$D$4)+('5 · Modern Console'!$D$4=""))*((DATASET!$E6='5 · Modern Console'!$F$4)+('5 · Modern Console'!$F$4=""))*(DATASET!$F6&lt;&gt;"")*(DATASET!$G6&lt;&gt;""))*(SUMPRODUCT((DATASET!$F$2:$F5=DATASET!$F6)*((DATASET!$C$2:$C5='5 · Modern Console'!$B$4)+('5 · Modern Console'!$B$4=""))*((DATASET!$D$2:$D5='5 · Modern Console'!$D$4)+('5 · Modern Console'!$D$4=""))*((DATASET!$E$2:$E5='5 · Modern Console'!$F$4)+('5 · Modern Console'!$F$4=""))*(DATASET!$F$2:$F5&lt;&gt;"")*(DATASET!$G$2:$G5&lt;&gt;""))=0))&gt;0,DATASET!$F6,"")</f>
        <v/>
      </c>
      <c r="BC6" t="str">
        <f t="shared" si="19"/>
        <v/>
      </c>
    </row>
    <row r="7" ht="15" customHeight="1">
      <c r="A7" t="s">
        <v>116</v>
      </c>
      <c r="C7">
        <f>IF((((DATASET!$C7='1 · Executive View'!$B$6)+('1 · Executive View'!$B$6=""))*((DATASET!$D7='1 · Executive View'!$D$6)+('1 · Executive View'!$D$6=""))*((DATASET!$E7='1 · Executive View'!$F$6)+('1 · Executive View'!$F$6=""))*((DATASET!$F7='1 · Executive View'!$H$6)+('1 · Executive View'!$H$6=""))*(DATASET!$G7&lt;&gt;""))&gt;0,1,0)</f>
        <v>0</v>
      </c>
      <c r="D7" t="str">
        <f t="shared" si="0"/>
        <v/>
      </c>
      <c r="E7" s="103" t="str">
        <f>IF(C7=1,DATASET!$I7,"")</f>
        <v/>
      </c>
      <c r="F7" t="str">
        <f>IF(((((DATASET!$C7='1 · Executive View'!$B$6)+('1 · Executive View'!$B$6=""))*(DATASET!$D7&lt;&gt;"")*(DATASET!$G7&lt;&gt;""))*(SUMPRODUCT((DATASET!$D$2:$D6=DATASET!$D7)*((DATASET!$C$2:$C6='1 · Executive View'!$B$6)+('1 · Executive View'!$B$6=""))*(DATASET!$D$2:$D6&lt;&gt;"")*(DATASET!$G$2:$G6&lt;&gt;""))=0))&gt;0,DATASET!$D7,"")</f>
        <v/>
      </c>
      <c r="G7" t="str">
        <f t="shared" si="1"/>
        <v/>
      </c>
      <c r="H7" t="str">
        <f>IF(((((DATASET!$C7='1 · Executive View'!$B$6)+('1 · Executive View'!$B$6=""))*((DATASET!$D7='1 · Executive View'!$D$6)+('1 · Executive View'!$D$6=""))*(DATASET!$E7&lt;&gt;"")*(DATASET!$G7&lt;&gt;""))*(SUMPRODUCT((DATASET!$E$2:$E6=DATASET!$E7)*((DATASET!$C$2:$C6='1 · Executive View'!$B$6)+('1 · Executive View'!$B$6=""))*((DATASET!$D$2:$D6='1 · Executive View'!$D$6)+('1 · Executive View'!$D$6=""))*(DATASET!$E$2:$E6&lt;&gt;"")*(DATASET!$G$2:$G6&lt;&gt;""))=0))&gt;0,DATASET!$E7,"")</f>
        <v/>
      </c>
      <c r="I7" t="str">
        <f t="shared" si="2"/>
        <v/>
      </c>
      <c r="J7" t="str">
        <f>IF(((((DATASET!$C7='1 · Executive View'!$B$6)+('1 · Executive View'!$B$6=""))*((DATASET!$D7='1 · Executive View'!$D$6)+('1 · Executive View'!$D$6=""))*((DATASET!$E7='1 · Executive View'!$F$6)+('1 · Executive View'!$F$6=""))*(DATASET!$F7&lt;&gt;"")*(DATASET!$G7&lt;&gt;""))*(SUMPRODUCT((DATASET!$F$2:$F6=DATASET!$F7)*((DATASET!$C$2:$C6='1 · Executive View'!$B$6)+('1 · Executive View'!$B$6=""))*((DATASET!$D$2:$D6='1 · Executive View'!$D$6)+('1 · Executive View'!$D$6=""))*((DATASET!$E$2:$E6='1 · Executive View'!$F$6)+('1 · Executive View'!$F$6=""))*(DATASET!$F$2:$F6&lt;&gt;"")*(DATASET!$G$2:$G6&lt;&gt;""))=0))&gt;0,DATASET!$F7,"")</f>
        <v/>
      </c>
      <c r="K7" t="str">
        <f t="shared" si="3"/>
        <v/>
      </c>
      <c r="N7">
        <f>IF((((DATASET!$C7='2 · Sidebar Studio'!$B$7)+('2 · Sidebar Studio'!$B$7=""))*((DATASET!$D7='2 · Sidebar Studio'!$B$9)+('2 · Sidebar Studio'!$B$9=""))*((DATASET!$E7='2 · Sidebar Studio'!$B$11)+('2 · Sidebar Studio'!$B$11=""))*((DATASET!$F7='2 · Sidebar Studio'!$B$13)+('2 · Sidebar Studio'!$B$13=""))*(DATASET!$G7&lt;&gt;""))&gt;0,1,0)</f>
        <v>1</v>
      </c>
      <c r="O7">
        <f t="shared" si="4"/>
        <v>6</v>
      </c>
      <c r="P7" s="103">
        <f>IF(N7=1,DATASET!$I7,"")</f>
        <v>24023.639999999999</v>
      </c>
      <c r="Q7" t="str">
        <f>IF(((((DATASET!$C7='2 · Sidebar Studio'!$B$7)+('2 · Sidebar Studio'!$B$7=""))*(DATASET!$D7&lt;&gt;"")*(DATASET!$G7&lt;&gt;""))*(SUMPRODUCT((DATASET!$D$2:$D6=DATASET!$D7)*((DATASET!$C$2:$C6='2 · Sidebar Studio'!$B$7)+('2 · Sidebar Studio'!$B$7=""))*(DATASET!$D$2:$D6&lt;&gt;"")*(DATASET!$G$2:$G6&lt;&gt;""))=0))&gt;0,DATASET!$D7,"")</f>
        <v/>
      </c>
      <c r="R7" t="str">
        <f t="shared" si="5"/>
        <v/>
      </c>
      <c r="S7" t="str">
        <f>IF(((((DATASET!$C7='2 · Sidebar Studio'!$B$7)+('2 · Sidebar Studio'!$B$7=""))*((DATASET!$D7='2 · Sidebar Studio'!$B$9)+('2 · Sidebar Studio'!$B$9=""))*(DATASET!$E7&lt;&gt;"")*(DATASET!$G7&lt;&gt;""))*(SUMPRODUCT((DATASET!$E$2:$E6=DATASET!$E7)*((DATASET!$C$2:$C6='2 · Sidebar Studio'!$B$7)+('2 · Sidebar Studio'!$B$7=""))*((DATASET!$D$2:$D6='2 · Sidebar Studio'!$B$9)+('2 · Sidebar Studio'!$B$9=""))*(DATASET!$E$2:$E6&lt;&gt;"")*(DATASET!$G$2:$G6&lt;&gt;""))=0))&gt;0,DATASET!$E7,"")</f>
        <v/>
      </c>
      <c r="T7" t="str">
        <f t="shared" si="6"/>
        <v/>
      </c>
      <c r="U7" t="str">
        <f>IF(((((DATASET!$C7='2 · Sidebar Studio'!$B$7)+('2 · Sidebar Studio'!$B$7=""))*((DATASET!$D7='2 · Sidebar Studio'!$B$9)+('2 · Sidebar Studio'!$B$9=""))*((DATASET!$E7='2 · Sidebar Studio'!$B$11)+('2 · Sidebar Studio'!$B$11=""))*(DATASET!$F7&lt;&gt;"")*(DATASET!$G7&lt;&gt;""))*(SUMPRODUCT((DATASET!$F$2:$F6=DATASET!$F7)*((DATASET!$C$2:$C6='2 · Sidebar Studio'!$B$7)+('2 · Sidebar Studio'!$B$7=""))*((DATASET!$D$2:$D6='2 · Sidebar Studio'!$B$9)+('2 · Sidebar Studio'!$B$9=""))*((DATASET!$E$2:$E6='2 · Sidebar Studio'!$B$11)+('2 · Sidebar Studio'!$B$11=""))*(DATASET!$F$2:$F6&lt;&gt;"")*(DATASET!$G$2:$G6&lt;&gt;""))=0))&gt;0,DATASET!$F7,"")</f>
        <v/>
      </c>
      <c r="V7" t="str">
        <f t="shared" si="7"/>
        <v/>
      </c>
      <c r="Y7">
        <f>IF((((DATASET!$C7='3 · KPI Cards'!$B$9)+('3 · KPI Cards'!$B$9=""))*((DATASET!$D7='3 · KPI Cards'!$D$9)+('3 · KPI Cards'!$D$9=""))*((DATASET!$E7='3 · KPI Cards'!$F$9)+('3 · KPI Cards'!$F$9=""))*((DATASET!$F7='3 · KPI Cards'!$H$9)+('3 · KPI Cards'!$H$9=""))*(DATASET!$G7&lt;&gt;""))&gt;0,1,0)</f>
        <v>1</v>
      </c>
      <c r="Z7">
        <f t="shared" si="8"/>
        <v>6</v>
      </c>
      <c r="AA7" s="103">
        <f>IF(Y7=1,DATASET!$I7,"")</f>
        <v>24023.639999999999</v>
      </c>
      <c r="AB7" t="str">
        <f>IF(((((DATASET!$C7='3 · KPI Cards'!$B$9)+('3 · KPI Cards'!$B$9=""))*(DATASET!$D7&lt;&gt;"")*(DATASET!$G7&lt;&gt;""))*(SUMPRODUCT((DATASET!$D$2:$D6=DATASET!$D7)*((DATASET!$C$2:$C6='3 · KPI Cards'!$B$9)+('3 · KPI Cards'!$B$9=""))*(DATASET!$D$2:$D6&lt;&gt;"")*(DATASET!$G$2:$G6&lt;&gt;""))=0))&gt;0,DATASET!$D7,"")</f>
        <v/>
      </c>
      <c r="AC7" t="str">
        <f t="shared" si="9"/>
        <v/>
      </c>
      <c r="AD7" t="str">
        <f>IF(((((DATASET!$C7='3 · KPI Cards'!$B$9)+('3 · KPI Cards'!$B$9=""))*((DATASET!$D7='3 · KPI Cards'!$D$9)+('3 · KPI Cards'!$D$9=""))*(DATASET!$E7&lt;&gt;"")*(DATASET!$G7&lt;&gt;""))*(SUMPRODUCT((DATASET!$E$2:$E6=DATASET!$E7)*((DATASET!$C$2:$C6='3 · KPI Cards'!$B$9)+('3 · KPI Cards'!$B$9=""))*((DATASET!$D$2:$D6='3 · KPI Cards'!$D$9)+('3 · KPI Cards'!$D$9=""))*(DATASET!$E$2:$E6&lt;&gt;"")*(DATASET!$G$2:$G6&lt;&gt;""))=0))&gt;0,DATASET!$E7,"")</f>
        <v/>
      </c>
      <c r="AE7" t="str">
        <f t="shared" si="10"/>
        <v/>
      </c>
      <c r="AF7" t="str">
        <f>IF(((((DATASET!$C7='3 · KPI Cards'!$B$9)+('3 · KPI Cards'!$B$9=""))*((DATASET!$D7='3 · KPI Cards'!$D$9)+('3 · KPI Cards'!$D$9=""))*((DATASET!$E7='3 · KPI Cards'!$F$9)+('3 · KPI Cards'!$F$9=""))*(DATASET!$F7&lt;&gt;"")*(DATASET!$G7&lt;&gt;""))*(SUMPRODUCT((DATASET!$F$2:$F6=DATASET!$F7)*((DATASET!$C$2:$C6='3 · KPI Cards'!$B$9)+('3 · KPI Cards'!$B$9=""))*((DATASET!$D$2:$D6='3 · KPI Cards'!$D$9)+('3 · KPI Cards'!$D$9=""))*((DATASET!$E$2:$E6='3 · KPI Cards'!$F$9)+('3 · KPI Cards'!$F$9=""))*(DATASET!$F$2:$F6&lt;&gt;"")*(DATASET!$G$2:$G6&lt;&gt;""))=0))&gt;0,DATASET!$F7,"")</f>
        <v/>
      </c>
      <c r="AG7" t="str">
        <f t="shared" si="11"/>
        <v/>
      </c>
      <c r="AJ7">
        <f>IF((((DATASET!$C7='4 · Board Report'!$D$5)+('4 · Board Report'!$D$5=""))*((DATASET!$D7='4 · Board Report'!$D$6)+('4 · Board Report'!$D$6=""))*((DATASET!$E7='4 · Board Report'!$D$7)+('4 · Board Report'!$D$7=""))*((DATASET!$F7='4 · Board Report'!$D$8)+('4 · Board Report'!$D$8=""))*(DATASET!$G7&lt;&gt;""))&gt;0,1,0)</f>
        <v>0</v>
      </c>
      <c r="AK7" t="str">
        <f t="shared" si="12"/>
        <v/>
      </c>
      <c r="AL7" s="103" t="str">
        <f>IF(AJ7=1,DATASET!$I7,"")</f>
        <v/>
      </c>
      <c r="AM7" t="str">
        <f>IF(((((DATASET!$C7='4 · Board Report'!$D$5)+('4 · Board Report'!$D$5=""))*(DATASET!$D7&lt;&gt;"")*(DATASET!$G7&lt;&gt;""))*(SUMPRODUCT((DATASET!$D$2:$D6=DATASET!$D7)*((DATASET!$C$2:$C6='4 · Board Report'!$D$5)+('4 · Board Report'!$D$5=""))*(DATASET!$D$2:$D6&lt;&gt;"")*(DATASET!$G$2:$G6&lt;&gt;""))=0))&gt;0,DATASET!$D7,"")</f>
        <v/>
      </c>
      <c r="AN7" t="str">
        <f t="shared" si="13"/>
        <v/>
      </c>
      <c r="AO7" t="str">
        <f>IF(((((DATASET!$C7='4 · Board Report'!$D$5)+('4 · Board Report'!$D$5=""))*((DATASET!$D7='4 · Board Report'!$D$6)+('4 · Board Report'!$D$6=""))*(DATASET!$E7&lt;&gt;"")*(DATASET!$G7&lt;&gt;""))*(SUMPRODUCT((DATASET!$E$2:$E6=DATASET!$E7)*((DATASET!$C$2:$C6='4 · Board Report'!$D$5)+('4 · Board Report'!$D$5=""))*((DATASET!$D$2:$D6='4 · Board Report'!$D$6)+('4 · Board Report'!$D$6=""))*(DATASET!$E$2:$E6&lt;&gt;"")*(DATASET!$G$2:$G6&lt;&gt;""))=0))&gt;0,DATASET!$E7,"")</f>
        <v/>
      </c>
      <c r="AP7" t="str">
        <f t="shared" si="14"/>
        <v/>
      </c>
      <c r="AQ7" t="str">
        <f>IF(((((DATASET!$C7='4 · Board Report'!$D$5)+('4 · Board Report'!$D$5=""))*((DATASET!$D7='4 · Board Report'!$D$6)+('4 · Board Report'!$D$6=""))*((DATASET!$E7='4 · Board Report'!$D$7)+('4 · Board Report'!$D$7=""))*(DATASET!$F7&lt;&gt;"")*(DATASET!$G7&lt;&gt;""))*(SUMPRODUCT((DATASET!$F$2:$F6=DATASET!$F7)*((DATASET!$C$2:$C6='4 · Board Report'!$D$5)+('4 · Board Report'!$D$5=""))*((DATASET!$D$2:$D6='4 · Board Report'!$D$6)+('4 · Board Report'!$D$6=""))*((DATASET!$E$2:$E6='4 · Board Report'!$D$7)+('4 · Board Report'!$D$7=""))*(DATASET!$F$2:$F6&lt;&gt;"")*(DATASET!$G$2:$G6&lt;&gt;""))=0))&gt;0,DATASET!$F7,"")</f>
        <v/>
      </c>
      <c r="AR7" t="str">
        <f t="shared" si="15"/>
        <v/>
      </c>
      <c r="AU7">
        <f>IF((((DATASET!$C7='5 · Modern Console'!$B$4)+('5 · Modern Console'!$B$4=""))*((DATASET!$D7='5 · Modern Console'!$D$4)+('5 · Modern Console'!$D$4=""))*((DATASET!$E7='5 · Modern Console'!$F$4)+('5 · Modern Console'!$F$4=""))*((DATASET!$F7='5 · Modern Console'!$H$4)+('5 · Modern Console'!$H$4=""))*(DATASET!$G7&lt;&gt;""))&gt;0,1,0)</f>
        <v>1</v>
      </c>
      <c r="AV7">
        <f t="shared" si="16"/>
        <v>6</v>
      </c>
      <c r="AW7" s="103">
        <f>IF(AU7=1,DATASET!$I7,"")</f>
        <v>24023.639999999999</v>
      </c>
      <c r="AX7" t="str">
        <f>IF(((((DATASET!$C7='5 · Modern Console'!$B$4)+('5 · Modern Console'!$B$4=""))*(DATASET!$D7&lt;&gt;"")*(DATASET!$G7&lt;&gt;""))*(SUMPRODUCT((DATASET!$D$2:$D6=DATASET!$D7)*((DATASET!$C$2:$C6='5 · Modern Console'!$B$4)+('5 · Modern Console'!$B$4=""))*(DATASET!$D$2:$D6&lt;&gt;"")*(DATASET!$G$2:$G6&lt;&gt;""))=0))&gt;0,DATASET!$D7,"")</f>
        <v/>
      </c>
      <c r="AY7" t="str">
        <f t="shared" si="17"/>
        <v/>
      </c>
      <c r="AZ7" t="str">
        <f>IF(((((DATASET!$C7='5 · Modern Console'!$B$4)+('5 · Modern Console'!$B$4=""))*((DATASET!$D7='5 · Modern Console'!$D$4)+('5 · Modern Console'!$D$4=""))*(DATASET!$E7&lt;&gt;"")*(DATASET!$G7&lt;&gt;""))*(SUMPRODUCT((DATASET!$E$2:$E6=DATASET!$E7)*((DATASET!$C$2:$C6='5 · Modern Console'!$B$4)+('5 · Modern Console'!$B$4=""))*((DATASET!$D$2:$D6='5 · Modern Console'!$D$4)+('5 · Modern Console'!$D$4=""))*(DATASET!$E$2:$E6&lt;&gt;"")*(DATASET!$G$2:$G6&lt;&gt;""))=0))&gt;0,DATASET!$E7,"")</f>
        <v/>
      </c>
      <c r="BA7" t="str">
        <f t="shared" si="18"/>
        <v/>
      </c>
      <c r="BB7" t="str">
        <f>IF(((((DATASET!$C7='5 · Modern Console'!$B$4)+('5 · Modern Console'!$B$4=""))*((DATASET!$D7='5 · Modern Console'!$D$4)+('5 · Modern Console'!$D$4=""))*((DATASET!$E7='5 · Modern Console'!$F$4)+('5 · Modern Console'!$F$4=""))*(DATASET!$F7&lt;&gt;"")*(DATASET!$G7&lt;&gt;""))*(SUMPRODUCT((DATASET!$F$2:$F6=DATASET!$F7)*((DATASET!$C$2:$C6='5 · Modern Console'!$B$4)+('5 · Modern Console'!$B$4=""))*((DATASET!$D$2:$D6='5 · Modern Console'!$D$4)+('5 · Modern Console'!$D$4=""))*((DATASET!$E$2:$E6='5 · Modern Console'!$F$4)+('5 · Modern Console'!$F$4=""))*(DATASET!$F$2:$F6&lt;&gt;"")*(DATASET!$G$2:$G6&lt;&gt;""))=0))&gt;0,DATASET!$F7,"")</f>
        <v/>
      </c>
      <c r="BC7" t="str">
        <f t="shared" si="19"/>
        <v/>
      </c>
    </row>
    <row r="8" ht="15" customHeight="1">
      <c r="A8" t="s">
        <v>132</v>
      </c>
      <c r="C8">
        <f>IF((((DATASET!$C8='1 · Executive View'!$B$6)+('1 · Executive View'!$B$6=""))*((DATASET!$D8='1 · Executive View'!$D$6)+('1 · Executive View'!$D$6=""))*((DATASET!$E8='1 · Executive View'!$F$6)+('1 · Executive View'!$F$6=""))*((DATASET!$F8='1 · Executive View'!$H$6)+('1 · Executive View'!$H$6=""))*(DATASET!$G8&lt;&gt;""))&gt;0,1,0)</f>
        <v>0</v>
      </c>
      <c r="D8" t="str">
        <f t="shared" si="0"/>
        <v/>
      </c>
      <c r="E8" s="103" t="str">
        <f>IF(C8=1,DATASET!$I8,"")</f>
        <v/>
      </c>
      <c r="F8" t="str">
        <f>IF(((((DATASET!$C8='1 · Executive View'!$B$6)+('1 · Executive View'!$B$6=""))*(DATASET!$D8&lt;&gt;"")*(DATASET!$G8&lt;&gt;""))*(SUMPRODUCT((DATASET!$D$2:$D7=DATASET!$D8)*((DATASET!$C$2:$C7='1 · Executive View'!$B$6)+('1 · Executive View'!$B$6=""))*(DATASET!$D$2:$D7&lt;&gt;"")*(DATASET!$G$2:$G7&lt;&gt;""))=0))&gt;0,DATASET!$D8,"")</f>
        <v/>
      </c>
      <c r="G8" t="str">
        <f t="shared" si="1"/>
        <v/>
      </c>
      <c r="H8" t="str">
        <f>IF(((((DATASET!$C8='1 · Executive View'!$B$6)+('1 · Executive View'!$B$6=""))*((DATASET!$D8='1 · Executive View'!$D$6)+('1 · Executive View'!$D$6=""))*(DATASET!$E8&lt;&gt;"")*(DATASET!$G8&lt;&gt;""))*(SUMPRODUCT((DATASET!$E$2:$E7=DATASET!$E8)*((DATASET!$C$2:$C7='1 · Executive View'!$B$6)+('1 · Executive View'!$B$6=""))*((DATASET!$D$2:$D7='1 · Executive View'!$D$6)+('1 · Executive View'!$D$6=""))*(DATASET!$E$2:$E7&lt;&gt;"")*(DATASET!$G$2:$G7&lt;&gt;""))=0))&gt;0,DATASET!$E8,"")</f>
        <v/>
      </c>
      <c r="I8" t="str">
        <f t="shared" si="2"/>
        <v/>
      </c>
      <c r="J8" t="str">
        <f>IF(((((DATASET!$C8='1 · Executive View'!$B$6)+('1 · Executive View'!$B$6=""))*((DATASET!$D8='1 · Executive View'!$D$6)+('1 · Executive View'!$D$6=""))*((DATASET!$E8='1 · Executive View'!$F$6)+('1 · Executive View'!$F$6=""))*(DATASET!$F8&lt;&gt;"")*(DATASET!$G8&lt;&gt;""))*(SUMPRODUCT((DATASET!$F$2:$F7=DATASET!$F8)*((DATASET!$C$2:$C7='1 · Executive View'!$B$6)+('1 · Executive View'!$B$6=""))*((DATASET!$D$2:$D7='1 · Executive View'!$D$6)+('1 · Executive View'!$D$6=""))*((DATASET!$E$2:$E7='1 · Executive View'!$F$6)+('1 · Executive View'!$F$6=""))*(DATASET!$F$2:$F7&lt;&gt;"")*(DATASET!$G$2:$G7&lt;&gt;""))=0))&gt;0,DATASET!$F8,"")</f>
        <v/>
      </c>
      <c r="K8" t="str">
        <f t="shared" si="3"/>
        <v/>
      </c>
      <c r="N8">
        <f>IF((((DATASET!$C8='2 · Sidebar Studio'!$B$7)+('2 · Sidebar Studio'!$B$7=""))*((DATASET!$D8='2 · Sidebar Studio'!$B$9)+('2 · Sidebar Studio'!$B$9=""))*((DATASET!$E8='2 · Sidebar Studio'!$B$11)+('2 · Sidebar Studio'!$B$11=""))*((DATASET!$F8='2 · Sidebar Studio'!$B$13)+('2 · Sidebar Studio'!$B$13=""))*(DATASET!$G8&lt;&gt;""))&gt;0,1,0)</f>
        <v>1</v>
      </c>
      <c r="O8">
        <f t="shared" si="4"/>
        <v>7</v>
      </c>
      <c r="P8" s="103">
        <f>IF(N8=1,DATASET!$I8,"")</f>
        <v>184.25</v>
      </c>
      <c r="Q8" t="str">
        <f>IF(((((DATASET!$C8='2 · Sidebar Studio'!$B$7)+('2 · Sidebar Studio'!$B$7=""))*(DATASET!$D8&lt;&gt;"")*(DATASET!$G8&lt;&gt;""))*(SUMPRODUCT((DATASET!$D$2:$D7=DATASET!$D8)*((DATASET!$C$2:$C7='2 · Sidebar Studio'!$B$7)+('2 · Sidebar Studio'!$B$7=""))*(DATASET!$D$2:$D7&lt;&gt;"")*(DATASET!$G$2:$G7&lt;&gt;""))=0))&gt;0,DATASET!$D8,"")</f>
        <v/>
      </c>
      <c r="R8" t="str">
        <f t="shared" si="5"/>
        <v/>
      </c>
      <c r="S8" t="str">
        <f>IF(((((DATASET!$C8='2 · Sidebar Studio'!$B$7)+('2 · Sidebar Studio'!$B$7=""))*((DATASET!$D8='2 · Sidebar Studio'!$B$9)+('2 · Sidebar Studio'!$B$9=""))*(DATASET!$E8&lt;&gt;"")*(DATASET!$G8&lt;&gt;""))*(SUMPRODUCT((DATASET!$E$2:$E7=DATASET!$E8)*((DATASET!$C$2:$C7='2 · Sidebar Studio'!$B$7)+('2 · Sidebar Studio'!$B$7=""))*((DATASET!$D$2:$D7='2 · Sidebar Studio'!$B$9)+('2 · Sidebar Studio'!$B$9=""))*(DATASET!$E$2:$E7&lt;&gt;"")*(DATASET!$G$2:$G7&lt;&gt;""))=0))&gt;0,DATASET!$E8,"")</f>
        <v/>
      </c>
      <c r="T8" t="str">
        <f t="shared" si="6"/>
        <v/>
      </c>
      <c r="U8" t="str">
        <f>IF(((((DATASET!$C8='2 · Sidebar Studio'!$B$7)+('2 · Sidebar Studio'!$B$7=""))*((DATASET!$D8='2 · Sidebar Studio'!$B$9)+('2 · Sidebar Studio'!$B$9=""))*((DATASET!$E8='2 · Sidebar Studio'!$B$11)+('2 · Sidebar Studio'!$B$11=""))*(DATASET!$F8&lt;&gt;"")*(DATASET!$G8&lt;&gt;""))*(SUMPRODUCT((DATASET!$F$2:$F7=DATASET!$F8)*((DATASET!$C$2:$C7='2 · Sidebar Studio'!$B$7)+('2 · Sidebar Studio'!$B$7=""))*((DATASET!$D$2:$D7='2 · Sidebar Studio'!$B$9)+('2 · Sidebar Studio'!$B$9=""))*((DATASET!$E$2:$E7='2 · Sidebar Studio'!$B$11)+('2 · Sidebar Studio'!$B$11=""))*(DATASET!$F$2:$F7&lt;&gt;"")*(DATASET!$G$2:$G7&lt;&gt;""))=0))&gt;0,DATASET!$F8,"")</f>
        <v/>
      </c>
      <c r="V8" t="str">
        <f t="shared" si="7"/>
        <v/>
      </c>
      <c r="Y8">
        <f>IF((((DATASET!$C8='3 · KPI Cards'!$B$9)+('3 · KPI Cards'!$B$9=""))*((DATASET!$D8='3 · KPI Cards'!$D$9)+('3 · KPI Cards'!$D$9=""))*((DATASET!$E8='3 · KPI Cards'!$F$9)+('3 · KPI Cards'!$F$9=""))*((DATASET!$F8='3 · KPI Cards'!$H$9)+('3 · KPI Cards'!$H$9=""))*(DATASET!$G8&lt;&gt;""))&gt;0,1,0)</f>
        <v>1</v>
      </c>
      <c r="Z8">
        <f t="shared" si="8"/>
        <v>7</v>
      </c>
      <c r="AA8" s="103">
        <f>IF(Y8=1,DATASET!$I8,"")</f>
        <v>184.25</v>
      </c>
      <c r="AB8" t="str">
        <f>IF(((((DATASET!$C8='3 · KPI Cards'!$B$9)+('3 · KPI Cards'!$B$9=""))*(DATASET!$D8&lt;&gt;"")*(DATASET!$G8&lt;&gt;""))*(SUMPRODUCT((DATASET!$D$2:$D7=DATASET!$D8)*((DATASET!$C$2:$C7='3 · KPI Cards'!$B$9)+('3 · KPI Cards'!$B$9=""))*(DATASET!$D$2:$D7&lt;&gt;"")*(DATASET!$G$2:$G7&lt;&gt;""))=0))&gt;0,DATASET!$D8,"")</f>
        <v/>
      </c>
      <c r="AC8" t="str">
        <f t="shared" si="9"/>
        <v/>
      </c>
      <c r="AD8" t="str">
        <f>IF(((((DATASET!$C8='3 · KPI Cards'!$B$9)+('3 · KPI Cards'!$B$9=""))*((DATASET!$D8='3 · KPI Cards'!$D$9)+('3 · KPI Cards'!$D$9=""))*(DATASET!$E8&lt;&gt;"")*(DATASET!$G8&lt;&gt;""))*(SUMPRODUCT((DATASET!$E$2:$E7=DATASET!$E8)*((DATASET!$C$2:$C7='3 · KPI Cards'!$B$9)+('3 · KPI Cards'!$B$9=""))*((DATASET!$D$2:$D7='3 · KPI Cards'!$D$9)+('3 · KPI Cards'!$D$9=""))*(DATASET!$E$2:$E7&lt;&gt;"")*(DATASET!$G$2:$G7&lt;&gt;""))=0))&gt;0,DATASET!$E8,"")</f>
        <v/>
      </c>
      <c r="AE8" t="str">
        <f t="shared" si="10"/>
        <v/>
      </c>
      <c r="AF8" t="str">
        <f>IF(((((DATASET!$C8='3 · KPI Cards'!$B$9)+('3 · KPI Cards'!$B$9=""))*((DATASET!$D8='3 · KPI Cards'!$D$9)+('3 · KPI Cards'!$D$9=""))*((DATASET!$E8='3 · KPI Cards'!$F$9)+('3 · KPI Cards'!$F$9=""))*(DATASET!$F8&lt;&gt;"")*(DATASET!$G8&lt;&gt;""))*(SUMPRODUCT((DATASET!$F$2:$F7=DATASET!$F8)*((DATASET!$C$2:$C7='3 · KPI Cards'!$B$9)+('3 · KPI Cards'!$B$9=""))*((DATASET!$D$2:$D7='3 · KPI Cards'!$D$9)+('3 · KPI Cards'!$D$9=""))*((DATASET!$E$2:$E7='3 · KPI Cards'!$F$9)+('3 · KPI Cards'!$F$9=""))*(DATASET!$F$2:$F7&lt;&gt;"")*(DATASET!$G$2:$G7&lt;&gt;""))=0))&gt;0,DATASET!$F8,"")</f>
        <v/>
      </c>
      <c r="AG8" t="str">
        <f t="shared" si="11"/>
        <v/>
      </c>
      <c r="AJ8">
        <f>IF((((DATASET!$C8='4 · Board Report'!$D$5)+('4 · Board Report'!$D$5=""))*((DATASET!$D8='4 · Board Report'!$D$6)+('4 · Board Report'!$D$6=""))*((DATASET!$E8='4 · Board Report'!$D$7)+('4 · Board Report'!$D$7=""))*((DATASET!$F8='4 · Board Report'!$D$8)+('4 · Board Report'!$D$8=""))*(DATASET!$G8&lt;&gt;""))&gt;0,1,0)</f>
        <v>0</v>
      </c>
      <c r="AK8" t="str">
        <f t="shared" si="12"/>
        <v/>
      </c>
      <c r="AL8" s="103" t="str">
        <f>IF(AJ8=1,DATASET!$I8,"")</f>
        <v/>
      </c>
      <c r="AM8" t="str">
        <f>IF(((((DATASET!$C8='4 · Board Report'!$D$5)+('4 · Board Report'!$D$5=""))*(DATASET!$D8&lt;&gt;"")*(DATASET!$G8&lt;&gt;""))*(SUMPRODUCT((DATASET!$D$2:$D7=DATASET!$D8)*((DATASET!$C$2:$C7='4 · Board Report'!$D$5)+('4 · Board Report'!$D$5=""))*(DATASET!$D$2:$D7&lt;&gt;"")*(DATASET!$G$2:$G7&lt;&gt;""))=0))&gt;0,DATASET!$D8,"")</f>
        <v/>
      </c>
      <c r="AN8" t="str">
        <f t="shared" si="13"/>
        <v/>
      </c>
      <c r="AO8" t="str">
        <f>IF(((((DATASET!$C8='4 · Board Report'!$D$5)+('4 · Board Report'!$D$5=""))*((DATASET!$D8='4 · Board Report'!$D$6)+('4 · Board Report'!$D$6=""))*(DATASET!$E8&lt;&gt;"")*(DATASET!$G8&lt;&gt;""))*(SUMPRODUCT((DATASET!$E$2:$E7=DATASET!$E8)*((DATASET!$C$2:$C7='4 · Board Report'!$D$5)+('4 · Board Report'!$D$5=""))*((DATASET!$D$2:$D7='4 · Board Report'!$D$6)+('4 · Board Report'!$D$6=""))*(DATASET!$E$2:$E7&lt;&gt;"")*(DATASET!$G$2:$G7&lt;&gt;""))=0))&gt;0,DATASET!$E8,"")</f>
        <v/>
      </c>
      <c r="AP8" t="str">
        <f t="shared" si="14"/>
        <v/>
      </c>
      <c r="AQ8" t="str">
        <f>IF(((((DATASET!$C8='4 · Board Report'!$D$5)+('4 · Board Report'!$D$5=""))*((DATASET!$D8='4 · Board Report'!$D$6)+('4 · Board Report'!$D$6=""))*((DATASET!$E8='4 · Board Report'!$D$7)+('4 · Board Report'!$D$7=""))*(DATASET!$F8&lt;&gt;"")*(DATASET!$G8&lt;&gt;""))*(SUMPRODUCT((DATASET!$F$2:$F7=DATASET!$F8)*((DATASET!$C$2:$C7='4 · Board Report'!$D$5)+('4 · Board Report'!$D$5=""))*((DATASET!$D$2:$D7='4 · Board Report'!$D$6)+('4 · Board Report'!$D$6=""))*((DATASET!$E$2:$E7='4 · Board Report'!$D$7)+('4 · Board Report'!$D$7=""))*(DATASET!$F$2:$F7&lt;&gt;"")*(DATASET!$G$2:$G7&lt;&gt;""))=0))&gt;0,DATASET!$F8,"")</f>
        <v/>
      </c>
      <c r="AR8" t="str">
        <f t="shared" si="15"/>
        <v/>
      </c>
      <c r="AU8">
        <f>IF((((DATASET!$C8='5 · Modern Console'!$B$4)+('5 · Modern Console'!$B$4=""))*((DATASET!$D8='5 · Modern Console'!$D$4)+('5 · Modern Console'!$D$4=""))*((DATASET!$E8='5 · Modern Console'!$F$4)+('5 · Modern Console'!$F$4=""))*((DATASET!$F8='5 · Modern Console'!$H$4)+('5 · Modern Console'!$H$4=""))*(DATASET!$G8&lt;&gt;""))&gt;0,1,0)</f>
        <v>1</v>
      </c>
      <c r="AV8">
        <f t="shared" si="16"/>
        <v>7</v>
      </c>
      <c r="AW8" s="103">
        <f>IF(AU8=1,DATASET!$I8,"")</f>
        <v>184.25</v>
      </c>
      <c r="AX8" t="str">
        <f>IF(((((DATASET!$C8='5 · Modern Console'!$B$4)+('5 · Modern Console'!$B$4=""))*(DATASET!$D8&lt;&gt;"")*(DATASET!$G8&lt;&gt;""))*(SUMPRODUCT((DATASET!$D$2:$D7=DATASET!$D8)*((DATASET!$C$2:$C7='5 · Modern Console'!$B$4)+('5 · Modern Console'!$B$4=""))*(DATASET!$D$2:$D7&lt;&gt;"")*(DATASET!$G$2:$G7&lt;&gt;""))=0))&gt;0,DATASET!$D8,"")</f>
        <v/>
      </c>
      <c r="AY8" t="str">
        <f t="shared" si="17"/>
        <v/>
      </c>
      <c r="AZ8" t="str">
        <f>IF(((((DATASET!$C8='5 · Modern Console'!$B$4)+('5 · Modern Console'!$B$4=""))*((DATASET!$D8='5 · Modern Console'!$D$4)+('5 · Modern Console'!$D$4=""))*(DATASET!$E8&lt;&gt;"")*(DATASET!$G8&lt;&gt;""))*(SUMPRODUCT((DATASET!$E$2:$E7=DATASET!$E8)*((DATASET!$C$2:$C7='5 · Modern Console'!$B$4)+('5 · Modern Console'!$B$4=""))*((DATASET!$D$2:$D7='5 · Modern Console'!$D$4)+('5 · Modern Console'!$D$4=""))*(DATASET!$E$2:$E7&lt;&gt;"")*(DATASET!$G$2:$G7&lt;&gt;""))=0))&gt;0,DATASET!$E8,"")</f>
        <v/>
      </c>
      <c r="BA8" t="str">
        <f t="shared" si="18"/>
        <v/>
      </c>
      <c r="BB8" t="str">
        <f>IF(((((DATASET!$C8='5 · Modern Console'!$B$4)+('5 · Modern Console'!$B$4=""))*((DATASET!$D8='5 · Modern Console'!$D$4)+('5 · Modern Console'!$D$4=""))*((DATASET!$E8='5 · Modern Console'!$F$4)+('5 · Modern Console'!$F$4=""))*(DATASET!$F8&lt;&gt;"")*(DATASET!$G8&lt;&gt;""))*(SUMPRODUCT((DATASET!$F$2:$F7=DATASET!$F8)*((DATASET!$C$2:$C7='5 · Modern Console'!$B$4)+('5 · Modern Console'!$B$4=""))*((DATASET!$D$2:$D7='5 · Modern Console'!$D$4)+('5 · Modern Console'!$D$4=""))*((DATASET!$E$2:$E7='5 · Modern Console'!$F$4)+('5 · Modern Console'!$F$4=""))*(DATASET!$F$2:$F7&lt;&gt;"")*(DATASET!$G$2:$G7&lt;&gt;""))=0))&gt;0,DATASET!$F8,"")</f>
        <v/>
      </c>
      <c r="BC8" t="str">
        <f t="shared" si="19"/>
        <v/>
      </c>
    </row>
    <row r="9" ht="15" customHeight="1">
      <c r="A9" t="s">
        <v>136</v>
      </c>
      <c r="C9">
        <f>IF((((DATASET!$C9='1 · Executive View'!$B$6)+('1 · Executive View'!$B$6=""))*((DATASET!$D9='1 · Executive View'!$D$6)+('1 · Executive View'!$D$6=""))*((DATASET!$E9='1 · Executive View'!$F$6)+('1 · Executive View'!$F$6=""))*((DATASET!$F9='1 · Executive View'!$H$6)+('1 · Executive View'!$H$6=""))*(DATASET!$G9&lt;&gt;""))&gt;0,1,0)</f>
        <v>0</v>
      </c>
      <c r="D9" t="str">
        <f t="shared" si="0"/>
        <v/>
      </c>
      <c r="E9" s="103" t="str">
        <f>IF(C9=1,DATASET!$I9,"")</f>
        <v/>
      </c>
      <c r="F9" t="str">
        <f>IF(((((DATASET!$C9='1 · Executive View'!$B$6)+('1 · Executive View'!$B$6=""))*(DATASET!$D9&lt;&gt;"")*(DATASET!$G9&lt;&gt;""))*(SUMPRODUCT((DATASET!$D$2:$D8=DATASET!$D9)*((DATASET!$C$2:$C8='1 · Executive View'!$B$6)+('1 · Executive View'!$B$6=""))*(DATASET!$D$2:$D8&lt;&gt;"")*(DATASET!$G$2:$G8&lt;&gt;""))=0))&gt;0,DATASET!$D9,"")</f>
        <v/>
      </c>
      <c r="G9" t="str">
        <f t="shared" si="1"/>
        <v/>
      </c>
      <c r="H9" t="str">
        <f>IF(((((DATASET!$C9='1 · Executive View'!$B$6)+('1 · Executive View'!$B$6=""))*((DATASET!$D9='1 · Executive View'!$D$6)+('1 · Executive View'!$D$6=""))*(DATASET!$E9&lt;&gt;"")*(DATASET!$G9&lt;&gt;""))*(SUMPRODUCT((DATASET!$E$2:$E8=DATASET!$E9)*((DATASET!$C$2:$C8='1 · Executive View'!$B$6)+('1 · Executive View'!$B$6=""))*((DATASET!$D$2:$D8='1 · Executive View'!$D$6)+('1 · Executive View'!$D$6=""))*(DATASET!$E$2:$E8&lt;&gt;"")*(DATASET!$G$2:$G8&lt;&gt;""))=0))&gt;0,DATASET!$E9,"")</f>
        <v/>
      </c>
      <c r="I9" t="str">
        <f t="shared" si="2"/>
        <v/>
      </c>
      <c r="J9" t="str">
        <f>IF(((((DATASET!$C9='1 · Executive View'!$B$6)+('1 · Executive View'!$B$6=""))*((DATASET!$D9='1 · Executive View'!$D$6)+('1 · Executive View'!$D$6=""))*((DATASET!$E9='1 · Executive View'!$F$6)+('1 · Executive View'!$F$6=""))*(DATASET!$F9&lt;&gt;"")*(DATASET!$G9&lt;&gt;""))*(SUMPRODUCT((DATASET!$F$2:$F8=DATASET!$F9)*((DATASET!$C$2:$C8='1 · Executive View'!$B$6)+('1 · Executive View'!$B$6=""))*((DATASET!$D$2:$D8='1 · Executive View'!$D$6)+('1 · Executive View'!$D$6=""))*((DATASET!$E$2:$E8='1 · Executive View'!$F$6)+('1 · Executive View'!$F$6=""))*(DATASET!$F$2:$F8&lt;&gt;"")*(DATASET!$G$2:$G8&lt;&gt;""))=0))&gt;0,DATASET!$F9,"")</f>
        <v/>
      </c>
      <c r="K9" t="str">
        <f t="shared" si="3"/>
        <v/>
      </c>
      <c r="N9">
        <f>IF((((DATASET!$C9='2 · Sidebar Studio'!$B$7)+('2 · Sidebar Studio'!$B$7=""))*((DATASET!$D9='2 · Sidebar Studio'!$B$9)+('2 · Sidebar Studio'!$B$9=""))*((DATASET!$E9='2 · Sidebar Studio'!$B$11)+('2 · Sidebar Studio'!$B$11=""))*((DATASET!$F9='2 · Sidebar Studio'!$B$13)+('2 · Sidebar Studio'!$B$13=""))*(DATASET!$G9&lt;&gt;""))&gt;0,1,0)</f>
        <v>1</v>
      </c>
      <c r="O9">
        <f t="shared" si="4"/>
        <v>8</v>
      </c>
      <c r="P9" s="103">
        <f>IF(N9=1,DATASET!$I9,"")</f>
        <v>2537.5999999999999</v>
      </c>
      <c r="Q9" t="str">
        <f>IF(((((DATASET!$C9='2 · Sidebar Studio'!$B$7)+('2 · Sidebar Studio'!$B$7=""))*(DATASET!$D9&lt;&gt;"")*(DATASET!$G9&lt;&gt;""))*(SUMPRODUCT((DATASET!$D$2:$D8=DATASET!$D9)*((DATASET!$C$2:$C8='2 · Sidebar Studio'!$B$7)+('2 · Sidebar Studio'!$B$7=""))*(DATASET!$D$2:$D8&lt;&gt;"")*(DATASET!$G$2:$G8&lt;&gt;""))=0))&gt;0,DATASET!$D9,"")</f>
        <v/>
      </c>
      <c r="R9" t="str">
        <f t="shared" si="5"/>
        <v/>
      </c>
      <c r="S9" t="str">
        <f>IF(((((DATASET!$C9='2 · Sidebar Studio'!$B$7)+('2 · Sidebar Studio'!$B$7=""))*((DATASET!$D9='2 · Sidebar Studio'!$B$9)+('2 · Sidebar Studio'!$B$9=""))*(DATASET!$E9&lt;&gt;"")*(DATASET!$G9&lt;&gt;""))*(SUMPRODUCT((DATASET!$E$2:$E8=DATASET!$E9)*((DATASET!$C$2:$C8='2 · Sidebar Studio'!$B$7)+('2 · Sidebar Studio'!$B$7=""))*((DATASET!$D$2:$D8='2 · Sidebar Studio'!$B$9)+('2 · Sidebar Studio'!$B$9=""))*(DATASET!$E$2:$E8&lt;&gt;"")*(DATASET!$G$2:$G8&lt;&gt;""))=0))&gt;0,DATASET!$E9,"")</f>
        <v/>
      </c>
      <c r="T9" t="str">
        <f t="shared" si="6"/>
        <v/>
      </c>
      <c r="U9" t="str">
        <f>IF(((((DATASET!$C9='2 · Sidebar Studio'!$B$7)+('2 · Sidebar Studio'!$B$7=""))*((DATASET!$D9='2 · Sidebar Studio'!$B$9)+('2 · Sidebar Studio'!$B$9=""))*((DATASET!$E9='2 · Sidebar Studio'!$B$11)+('2 · Sidebar Studio'!$B$11=""))*(DATASET!$F9&lt;&gt;"")*(DATASET!$G9&lt;&gt;""))*(SUMPRODUCT((DATASET!$F$2:$F8=DATASET!$F9)*((DATASET!$C$2:$C8='2 · Sidebar Studio'!$B$7)+('2 · Sidebar Studio'!$B$7=""))*((DATASET!$D$2:$D8='2 · Sidebar Studio'!$B$9)+('2 · Sidebar Studio'!$B$9=""))*((DATASET!$E$2:$E8='2 · Sidebar Studio'!$B$11)+('2 · Sidebar Studio'!$B$11=""))*(DATASET!$F$2:$F8&lt;&gt;"")*(DATASET!$G$2:$G8&lt;&gt;""))=0))&gt;0,DATASET!$F9,"")</f>
        <v/>
      </c>
      <c r="V9" t="str">
        <f t="shared" si="7"/>
        <v/>
      </c>
      <c r="Y9">
        <f>IF((((DATASET!$C9='3 · KPI Cards'!$B$9)+('3 · KPI Cards'!$B$9=""))*((DATASET!$D9='3 · KPI Cards'!$D$9)+('3 · KPI Cards'!$D$9=""))*((DATASET!$E9='3 · KPI Cards'!$F$9)+('3 · KPI Cards'!$F$9=""))*((DATASET!$F9='3 · KPI Cards'!$H$9)+('3 · KPI Cards'!$H$9=""))*(DATASET!$G9&lt;&gt;""))&gt;0,1,0)</f>
        <v>1</v>
      </c>
      <c r="Z9">
        <f t="shared" si="8"/>
        <v>8</v>
      </c>
      <c r="AA9" s="103">
        <f>IF(Y9=1,DATASET!$I9,"")</f>
        <v>2537.5999999999999</v>
      </c>
      <c r="AB9" t="str">
        <f>IF(((((DATASET!$C9='3 · KPI Cards'!$B$9)+('3 · KPI Cards'!$B$9=""))*(DATASET!$D9&lt;&gt;"")*(DATASET!$G9&lt;&gt;""))*(SUMPRODUCT((DATASET!$D$2:$D8=DATASET!$D9)*((DATASET!$C$2:$C8='3 · KPI Cards'!$B$9)+('3 · KPI Cards'!$B$9=""))*(DATASET!$D$2:$D8&lt;&gt;"")*(DATASET!$G$2:$G8&lt;&gt;""))=0))&gt;0,DATASET!$D9,"")</f>
        <v/>
      </c>
      <c r="AC9" t="str">
        <f t="shared" si="9"/>
        <v/>
      </c>
      <c r="AD9" t="str">
        <f>IF(((((DATASET!$C9='3 · KPI Cards'!$B$9)+('3 · KPI Cards'!$B$9=""))*((DATASET!$D9='3 · KPI Cards'!$D$9)+('3 · KPI Cards'!$D$9=""))*(DATASET!$E9&lt;&gt;"")*(DATASET!$G9&lt;&gt;""))*(SUMPRODUCT((DATASET!$E$2:$E8=DATASET!$E9)*((DATASET!$C$2:$C8='3 · KPI Cards'!$B$9)+('3 · KPI Cards'!$B$9=""))*((DATASET!$D$2:$D8='3 · KPI Cards'!$D$9)+('3 · KPI Cards'!$D$9=""))*(DATASET!$E$2:$E8&lt;&gt;"")*(DATASET!$G$2:$G8&lt;&gt;""))=0))&gt;0,DATASET!$E9,"")</f>
        <v/>
      </c>
      <c r="AE9" t="str">
        <f t="shared" si="10"/>
        <v/>
      </c>
      <c r="AF9" t="str">
        <f>IF(((((DATASET!$C9='3 · KPI Cards'!$B$9)+('3 · KPI Cards'!$B$9=""))*((DATASET!$D9='3 · KPI Cards'!$D$9)+('3 · KPI Cards'!$D$9=""))*((DATASET!$E9='3 · KPI Cards'!$F$9)+('3 · KPI Cards'!$F$9=""))*(DATASET!$F9&lt;&gt;"")*(DATASET!$G9&lt;&gt;""))*(SUMPRODUCT((DATASET!$F$2:$F8=DATASET!$F9)*((DATASET!$C$2:$C8='3 · KPI Cards'!$B$9)+('3 · KPI Cards'!$B$9=""))*((DATASET!$D$2:$D8='3 · KPI Cards'!$D$9)+('3 · KPI Cards'!$D$9=""))*((DATASET!$E$2:$E8='3 · KPI Cards'!$F$9)+('3 · KPI Cards'!$F$9=""))*(DATASET!$F$2:$F8&lt;&gt;"")*(DATASET!$G$2:$G8&lt;&gt;""))=0))&gt;0,DATASET!$F9,"")</f>
        <v/>
      </c>
      <c r="AG9" t="str">
        <f t="shared" si="11"/>
        <v/>
      </c>
      <c r="AJ9">
        <f>IF((((DATASET!$C9='4 · Board Report'!$D$5)+('4 · Board Report'!$D$5=""))*((DATASET!$D9='4 · Board Report'!$D$6)+('4 · Board Report'!$D$6=""))*((DATASET!$E9='4 · Board Report'!$D$7)+('4 · Board Report'!$D$7=""))*((DATASET!$F9='4 · Board Report'!$D$8)+('4 · Board Report'!$D$8=""))*(DATASET!$G9&lt;&gt;""))&gt;0,1,0)</f>
        <v>0</v>
      </c>
      <c r="AK9" t="str">
        <f t="shared" si="12"/>
        <v/>
      </c>
      <c r="AL9" s="103" t="str">
        <f>IF(AJ9=1,DATASET!$I9,"")</f>
        <v/>
      </c>
      <c r="AM9" t="str">
        <f>IF(((((DATASET!$C9='4 · Board Report'!$D$5)+('4 · Board Report'!$D$5=""))*(DATASET!$D9&lt;&gt;"")*(DATASET!$G9&lt;&gt;""))*(SUMPRODUCT((DATASET!$D$2:$D8=DATASET!$D9)*((DATASET!$C$2:$C8='4 · Board Report'!$D$5)+('4 · Board Report'!$D$5=""))*(DATASET!$D$2:$D8&lt;&gt;"")*(DATASET!$G$2:$G8&lt;&gt;""))=0))&gt;0,DATASET!$D9,"")</f>
        <v/>
      </c>
      <c r="AN9" t="str">
        <f t="shared" si="13"/>
        <v/>
      </c>
      <c r="AO9" t="str">
        <f>IF(((((DATASET!$C9='4 · Board Report'!$D$5)+('4 · Board Report'!$D$5=""))*((DATASET!$D9='4 · Board Report'!$D$6)+('4 · Board Report'!$D$6=""))*(DATASET!$E9&lt;&gt;"")*(DATASET!$G9&lt;&gt;""))*(SUMPRODUCT((DATASET!$E$2:$E8=DATASET!$E9)*((DATASET!$C$2:$C8='4 · Board Report'!$D$5)+('4 · Board Report'!$D$5=""))*((DATASET!$D$2:$D8='4 · Board Report'!$D$6)+('4 · Board Report'!$D$6=""))*(DATASET!$E$2:$E8&lt;&gt;"")*(DATASET!$G$2:$G8&lt;&gt;""))=0))&gt;0,DATASET!$E9,"")</f>
        <v/>
      </c>
      <c r="AP9" t="str">
        <f t="shared" si="14"/>
        <v/>
      </c>
      <c r="AQ9" t="str">
        <f>IF(((((DATASET!$C9='4 · Board Report'!$D$5)+('4 · Board Report'!$D$5=""))*((DATASET!$D9='4 · Board Report'!$D$6)+('4 · Board Report'!$D$6=""))*((DATASET!$E9='4 · Board Report'!$D$7)+('4 · Board Report'!$D$7=""))*(DATASET!$F9&lt;&gt;"")*(DATASET!$G9&lt;&gt;""))*(SUMPRODUCT((DATASET!$F$2:$F8=DATASET!$F9)*((DATASET!$C$2:$C8='4 · Board Report'!$D$5)+('4 · Board Report'!$D$5=""))*((DATASET!$D$2:$D8='4 · Board Report'!$D$6)+('4 · Board Report'!$D$6=""))*((DATASET!$E$2:$E8='4 · Board Report'!$D$7)+('4 · Board Report'!$D$7=""))*(DATASET!$F$2:$F8&lt;&gt;"")*(DATASET!$G$2:$G8&lt;&gt;""))=0))&gt;0,DATASET!$F9,"")</f>
        <v/>
      </c>
      <c r="AR9" t="str">
        <f t="shared" si="15"/>
        <v/>
      </c>
      <c r="AU9">
        <f>IF((((DATASET!$C9='5 · Modern Console'!$B$4)+('5 · Modern Console'!$B$4=""))*((DATASET!$D9='5 · Modern Console'!$D$4)+('5 · Modern Console'!$D$4=""))*((DATASET!$E9='5 · Modern Console'!$F$4)+('5 · Modern Console'!$F$4=""))*((DATASET!$F9='5 · Modern Console'!$H$4)+('5 · Modern Console'!$H$4=""))*(DATASET!$G9&lt;&gt;""))&gt;0,1,0)</f>
        <v>1</v>
      </c>
      <c r="AV9">
        <f t="shared" si="16"/>
        <v>8</v>
      </c>
      <c r="AW9" s="103">
        <f>IF(AU9=1,DATASET!$I9,"")</f>
        <v>2537.5999999999999</v>
      </c>
      <c r="AX9" t="str">
        <f>IF(((((DATASET!$C9='5 · Modern Console'!$B$4)+('5 · Modern Console'!$B$4=""))*(DATASET!$D9&lt;&gt;"")*(DATASET!$G9&lt;&gt;""))*(SUMPRODUCT((DATASET!$D$2:$D8=DATASET!$D9)*((DATASET!$C$2:$C8='5 · Modern Console'!$B$4)+('5 · Modern Console'!$B$4=""))*(DATASET!$D$2:$D8&lt;&gt;"")*(DATASET!$G$2:$G8&lt;&gt;""))=0))&gt;0,DATASET!$D9,"")</f>
        <v/>
      </c>
      <c r="AY9" t="str">
        <f t="shared" si="17"/>
        <v/>
      </c>
      <c r="AZ9" t="str">
        <f>IF(((((DATASET!$C9='5 · Modern Console'!$B$4)+('5 · Modern Console'!$B$4=""))*((DATASET!$D9='5 · Modern Console'!$D$4)+('5 · Modern Console'!$D$4=""))*(DATASET!$E9&lt;&gt;"")*(DATASET!$G9&lt;&gt;""))*(SUMPRODUCT((DATASET!$E$2:$E8=DATASET!$E9)*((DATASET!$C$2:$C8='5 · Modern Console'!$B$4)+('5 · Modern Console'!$B$4=""))*((DATASET!$D$2:$D8='5 · Modern Console'!$D$4)+('5 · Modern Console'!$D$4=""))*(DATASET!$E$2:$E8&lt;&gt;"")*(DATASET!$G$2:$G8&lt;&gt;""))=0))&gt;0,DATASET!$E9,"")</f>
        <v/>
      </c>
      <c r="BA9" t="str">
        <f t="shared" si="18"/>
        <v/>
      </c>
      <c r="BB9" t="str">
        <f>IF(((((DATASET!$C9='5 · Modern Console'!$B$4)+('5 · Modern Console'!$B$4=""))*((DATASET!$D9='5 · Modern Console'!$D$4)+('5 · Modern Console'!$D$4=""))*((DATASET!$E9='5 · Modern Console'!$F$4)+('5 · Modern Console'!$F$4=""))*(DATASET!$F9&lt;&gt;"")*(DATASET!$G9&lt;&gt;""))*(SUMPRODUCT((DATASET!$F$2:$F8=DATASET!$F9)*((DATASET!$C$2:$C8='5 · Modern Console'!$B$4)+('5 · Modern Console'!$B$4=""))*((DATASET!$D$2:$D8='5 · Modern Console'!$D$4)+('5 · Modern Console'!$D$4=""))*((DATASET!$E$2:$E8='5 · Modern Console'!$F$4)+('5 · Modern Console'!$F$4=""))*(DATASET!$F$2:$F8&lt;&gt;"")*(DATASET!$G$2:$G8&lt;&gt;""))=0))&gt;0,DATASET!$F9,"")</f>
        <v/>
      </c>
      <c r="BC9" t="str">
        <f t="shared" si="19"/>
        <v/>
      </c>
    </row>
    <row r="10" ht="15" customHeight="1">
      <c r="C10">
        <f>IF((((DATASET!$C10='1 · Executive View'!$B$6)+('1 · Executive View'!$B$6=""))*((DATASET!$D10='1 · Executive View'!$D$6)+('1 · Executive View'!$D$6=""))*((DATASET!$E10='1 · Executive View'!$F$6)+('1 · Executive View'!$F$6=""))*((DATASET!$F10='1 · Executive View'!$H$6)+('1 · Executive View'!$H$6=""))*(DATASET!$G10&lt;&gt;""))&gt;0,1,0)</f>
        <v>0</v>
      </c>
      <c r="D10" t="str">
        <f t="shared" ref="D10:D47" si="20">IF(C10=1,SUM($C$2:C10),"")</f>
        <v/>
      </c>
      <c r="E10" s="103" t="str">
        <f>IF(C10=1,DATASET!$I10,"")</f>
        <v/>
      </c>
      <c r="F10" t="str">
        <f>IF(((((DATASET!$C10='1 · Executive View'!$B$6)+('1 · Executive View'!$B$6=""))*(DATASET!$D10&lt;&gt;"")*(DATASET!$G10&lt;&gt;""))*(SUMPRODUCT((DATASET!$D$2:$D9=DATASET!$D10)*((DATASET!$C$2:$C9='1 · Executive View'!$B$6)+('1 · Executive View'!$B$6=""))*(DATASET!$D$2:$D9&lt;&gt;"")*(DATASET!$G$2:$G9&lt;&gt;""))=0))&gt;0,DATASET!$D10,"")</f>
        <v/>
      </c>
      <c r="G10" t="str">
        <f t="shared" ref="G10:G47" si="21">IF(F10&lt;&gt;"",COUNTIF($F$2:F10,"?*"),"")</f>
        <v/>
      </c>
      <c r="H10" t="str">
        <f>IF(((((DATASET!$C10='1 · Executive View'!$B$6)+('1 · Executive View'!$B$6=""))*((DATASET!$D10='1 · Executive View'!$D$6)+('1 · Executive View'!$D$6=""))*(DATASET!$E10&lt;&gt;"")*(DATASET!$G10&lt;&gt;""))*(SUMPRODUCT((DATASET!$E$2:$E9=DATASET!$E10)*((DATASET!$C$2:$C9='1 · Executive View'!$B$6)+('1 · Executive View'!$B$6=""))*((DATASET!$D$2:$D9='1 · Executive View'!$D$6)+('1 · Executive View'!$D$6=""))*(DATASET!$E$2:$E9&lt;&gt;"")*(DATASET!$G$2:$G9&lt;&gt;""))=0))&gt;0,DATASET!$E10,"")</f>
        <v/>
      </c>
      <c r="I10" t="str">
        <f t="shared" ref="I10:I47" si="22">IF(H10&lt;&gt;"",COUNTIF($H$2:H10,"?*"),"")</f>
        <v/>
      </c>
      <c r="J10" t="str">
        <f>IF(((((DATASET!$C10='1 · Executive View'!$B$6)+('1 · Executive View'!$B$6=""))*((DATASET!$D10='1 · Executive View'!$D$6)+('1 · Executive View'!$D$6=""))*((DATASET!$E10='1 · Executive View'!$F$6)+('1 · Executive View'!$F$6=""))*(DATASET!$F10&lt;&gt;"")*(DATASET!$G10&lt;&gt;""))*(SUMPRODUCT((DATASET!$F$2:$F9=DATASET!$F10)*((DATASET!$C$2:$C9='1 · Executive View'!$B$6)+('1 · Executive View'!$B$6=""))*((DATASET!$D$2:$D9='1 · Executive View'!$D$6)+('1 · Executive View'!$D$6=""))*((DATASET!$E$2:$E9='1 · Executive View'!$F$6)+('1 · Executive View'!$F$6=""))*(DATASET!$F$2:$F9&lt;&gt;"")*(DATASET!$G$2:$G9&lt;&gt;""))=0))&gt;0,DATASET!$F10,"")</f>
        <v/>
      </c>
      <c r="K10" t="str">
        <f t="shared" ref="K10:K47" si="23">IF(J10&lt;&gt;"",COUNTIF($J$2:J10,"?*"),"")</f>
        <v/>
      </c>
      <c r="N10">
        <f>IF((((DATASET!$C10='2 · Sidebar Studio'!$B$7)+('2 · Sidebar Studio'!$B$7=""))*((DATASET!$D10='2 · Sidebar Studio'!$B$9)+('2 · Sidebar Studio'!$B$9=""))*((DATASET!$E10='2 · Sidebar Studio'!$B$11)+('2 · Sidebar Studio'!$B$11=""))*((DATASET!$F10='2 · Sidebar Studio'!$B$13)+('2 · Sidebar Studio'!$B$13=""))*(DATASET!$G10&lt;&gt;""))&gt;0,1,0)</f>
        <v>1</v>
      </c>
      <c r="O10">
        <f t="shared" ref="O10:O47" si="24">IF(N10=1,SUM($N$2:N10),"")</f>
        <v>9</v>
      </c>
      <c r="P10" s="103">
        <f>IF(N10=1,DATASET!$I10,"")</f>
        <v>19975.900000000001</v>
      </c>
      <c r="Q10" t="str">
        <f>IF(((((DATASET!$C10='2 · Sidebar Studio'!$B$7)+('2 · Sidebar Studio'!$B$7=""))*(DATASET!$D10&lt;&gt;"")*(DATASET!$G10&lt;&gt;""))*(SUMPRODUCT((DATASET!$D$2:$D9=DATASET!$D10)*((DATASET!$C$2:$C9='2 · Sidebar Studio'!$B$7)+('2 · Sidebar Studio'!$B$7=""))*(DATASET!$D$2:$D9&lt;&gt;"")*(DATASET!$G$2:$G9&lt;&gt;""))=0))&gt;0,DATASET!$D10,"")</f>
        <v/>
      </c>
      <c r="R10" t="str">
        <f t="shared" ref="R10:R47" si="25">IF(Q10&lt;&gt;"",COUNTIF($Q$2:Q10,"?*"),"")</f>
        <v/>
      </c>
      <c r="S10" t="str">
        <f>IF(((((DATASET!$C10='2 · Sidebar Studio'!$B$7)+('2 · Sidebar Studio'!$B$7=""))*((DATASET!$D10='2 · Sidebar Studio'!$B$9)+('2 · Sidebar Studio'!$B$9=""))*(DATASET!$E10&lt;&gt;"")*(DATASET!$G10&lt;&gt;""))*(SUMPRODUCT((DATASET!$E$2:$E9=DATASET!$E10)*((DATASET!$C$2:$C9='2 · Sidebar Studio'!$B$7)+('2 · Sidebar Studio'!$B$7=""))*((DATASET!$D$2:$D9='2 · Sidebar Studio'!$B$9)+('2 · Sidebar Studio'!$B$9=""))*(DATASET!$E$2:$E9&lt;&gt;"")*(DATASET!$G$2:$G9&lt;&gt;""))=0))&gt;0,DATASET!$E10,"")</f>
        <v/>
      </c>
      <c r="T10" t="str">
        <f t="shared" ref="T10:T47" si="26">IF(S10&lt;&gt;"",COUNTIF($S$2:S10,"?*"),"")</f>
        <v/>
      </c>
      <c r="U10" t="str">
        <f>IF(((((DATASET!$C10='2 · Sidebar Studio'!$B$7)+('2 · Sidebar Studio'!$B$7=""))*((DATASET!$D10='2 · Sidebar Studio'!$B$9)+('2 · Sidebar Studio'!$B$9=""))*((DATASET!$E10='2 · Sidebar Studio'!$B$11)+('2 · Sidebar Studio'!$B$11=""))*(DATASET!$F10&lt;&gt;"")*(DATASET!$G10&lt;&gt;""))*(SUMPRODUCT((DATASET!$F$2:$F9=DATASET!$F10)*((DATASET!$C$2:$C9='2 · Sidebar Studio'!$B$7)+('2 · Sidebar Studio'!$B$7=""))*((DATASET!$D$2:$D9='2 · Sidebar Studio'!$B$9)+('2 · Sidebar Studio'!$B$9=""))*((DATASET!$E$2:$E9='2 · Sidebar Studio'!$B$11)+('2 · Sidebar Studio'!$B$11=""))*(DATASET!$F$2:$F9&lt;&gt;"")*(DATASET!$G$2:$G9&lt;&gt;""))=0))&gt;0,DATASET!$F10,"")</f>
        <v/>
      </c>
      <c r="V10" t="str">
        <f t="shared" ref="V10:V47" si="27">IF(U10&lt;&gt;"",COUNTIF($U$2:U10,"?*"),"")</f>
        <v/>
      </c>
      <c r="Y10">
        <f>IF((((DATASET!$C10='3 · KPI Cards'!$B$9)+('3 · KPI Cards'!$B$9=""))*((DATASET!$D10='3 · KPI Cards'!$D$9)+('3 · KPI Cards'!$D$9=""))*((DATASET!$E10='3 · KPI Cards'!$F$9)+('3 · KPI Cards'!$F$9=""))*((DATASET!$F10='3 · KPI Cards'!$H$9)+('3 · KPI Cards'!$H$9=""))*(DATASET!$G10&lt;&gt;""))&gt;0,1,0)</f>
        <v>1</v>
      </c>
      <c r="Z10">
        <f t="shared" ref="Z10:Z47" si="28">IF(Y10=1,SUM($Y$2:Y10),"")</f>
        <v>9</v>
      </c>
      <c r="AA10" s="103">
        <f>IF(Y10=1,DATASET!$I10,"")</f>
        <v>19975.900000000001</v>
      </c>
      <c r="AB10" t="str">
        <f>IF(((((DATASET!$C10='3 · KPI Cards'!$B$9)+('3 · KPI Cards'!$B$9=""))*(DATASET!$D10&lt;&gt;"")*(DATASET!$G10&lt;&gt;""))*(SUMPRODUCT((DATASET!$D$2:$D9=DATASET!$D10)*((DATASET!$C$2:$C9='3 · KPI Cards'!$B$9)+('3 · KPI Cards'!$B$9=""))*(DATASET!$D$2:$D9&lt;&gt;"")*(DATASET!$G$2:$G9&lt;&gt;""))=0))&gt;0,DATASET!$D10,"")</f>
        <v/>
      </c>
      <c r="AC10" t="str">
        <f t="shared" ref="AC10:AC47" si="29">IF(AB10&lt;&gt;"",COUNTIF($AB$2:AB10,"?*"),"")</f>
        <v/>
      </c>
      <c r="AD10" t="str">
        <f>IF(((((DATASET!$C10='3 · KPI Cards'!$B$9)+('3 · KPI Cards'!$B$9=""))*((DATASET!$D10='3 · KPI Cards'!$D$9)+('3 · KPI Cards'!$D$9=""))*(DATASET!$E10&lt;&gt;"")*(DATASET!$G10&lt;&gt;""))*(SUMPRODUCT((DATASET!$E$2:$E9=DATASET!$E10)*((DATASET!$C$2:$C9='3 · KPI Cards'!$B$9)+('3 · KPI Cards'!$B$9=""))*((DATASET!$D$2:$D9='3 · KPI Cards'!$D$9)+('3 · KPI Cards'!$D$9=""))*(DATASET!$E$2:$E9&lt;&gt;"")*(DATASET!$G$2:$G9&lt;&gt;""))=0))&gt;0,DATASET!$E10,"")</f>
        <v/>
      </c>
      <c r="AE10" t="str">
        <f t="shared" ref="AE10:AE47" si="30">IF(AD10&lt;&gt;"",COUNTIF($AD$2:AD10,"?*"),"")</f>
        <v/>
      </c>
      <c r="AF10" t="str">
        <f>IF(((((DATASET!$C10='3 · KPI Cards'!$B$9)+('3 · KPI Cards'!$B$9=""))*((DATASET!$D10='3 · KPI Cards'!$D$9)+('3 · KPI Cards'!$D$9=""))*((DATASET!$E10='3 · KPI Cards'!$F$9)+('3 · KPI Cards'!$F$9=""))*(DATASET!$F10&lt;&gt;"")*(DATASET!$G10&lt;&gt;""))*(SUMPRODUCT((DATASET!$F$2:$F9=DATASET!$F10)*((DATASET!$C$2:$C9='3 · KPI Cards'!$B$9)+('3 · KPI Cards'!$B$9=""))*((DATASET!$D$2:$D9='3 · KPI Cards'!$D$9)+('3 · KPI Cards'!$D$9=""))*((DATASET!$E$2:$E9='3 · KPI Cards'!$F$9)+('3 · KPI Cards'!$F$9=""))*(DATASET!$F$2:$F9&lt;&gt;"")*(DATASET!$G$2:$G9&lt;&gt;""))=0))&gt;0,DATASET!$F10,"")</f>
        <v/>
      </c>
      <c r="AG10" t="str">
        <f t="shared" ref="AG10:AG47" si="31">IF(AF10&lt;&gt;"",COUNTIF($AF$2:AF10,"?*"),"")</f>
        <v/>
      </c>
      <c r="AJ10">
        <f>IF((((DATASET!$C10='4 · Board Report'!$D$5)+('4 · Board Report'!$D$5=""))*((DATASET!$D10='4 · Board Report'!$D$6)+('4 · Board Report'!$D$6=""))*((DATASET!$E10='4 · Board Report'!$D$7)+('4 · Board Report'!$D$7=""))*((DATASET!$F10='4 · Board Report'!$D$8)+('4 · Board Report'!$D$8=""))*(DATASET!$G10&lt;&gt;""))&gt;0,1,0)</f>
        <v>0</v>
      </c>
      <c r="AK10" t="str">
        <f t="shared" ref="AK10:AK47" si="32">IF(AJ10=1,SUM($AJ$2:AJ10),"")</f>
        <v/>
      </c>
      <c r="AL10" s="103" t="str">
        <f>IF(AJ10=1,DATASET!$I10,"")</f>
        <v/>
      </c>
      <c r="AM10" t="str">
        <f>IF(((((DATASET!$C10='4 · Board Report'!$D$5)+('4 · Board Report'!$D$5=""))*(DATASET!$D10&lt;&gt;"")*(DATASET!$G10&lt;&gt;""))*(SUMPRODUCT((DATASET!$D$2:$D9=DATASET!$D10)*((DATASET!$C$2:$C9='4 · Board Report'!$D$5)+('4 · Board Report'!$D$5=""))*(DATASET!$D$2:$D9&lt;&gt;"")*(DATASET!$G$2:$G9&lt;&gt;""))=0))&gt;0,DATASET!$D10,"")</f>
        <v/>
      </c>
      <c r="AN10" t="str">
        <f t="shared" ref="AN10:AN47" si="33">IF(AM10&lt;&gt;"",COUNTIF($AM$2:AM10,"?*"),"")</f>
        <v/>
      </c>
      <c r="AO10" t="str">
        <f>IF(((((DATASET!$C10='4 · Board Report'!$D$5)+('4 · Board Report'!$D$5=""))*((DATASET!$D10='4 · Board Report'!$D$6)+('4 · Board Report'!$D$6=""))*(DATASET!$E10&lt;&gt;"")*(DATASET!$G10&lt;&gt;""))*(SUMPRODUCT((DATASET!$E$2:$E9=DATASET!$E10)*((DATASET!$C$2:$C9='4 · Board Report'!$D$5)+('4 · Board Report'!$D$5=""))*((DATASET!$D$2:$D9='4 · Board Report'!$D$6)+('4 · Board Report'!$D$6=""))*(DATASET!$E$2:$E9&lt;&gt;"")*(DATASET!$G$2:$G9&lt;&gt;""))=0))&gt;0,DATASET!$E10,"")</f>
        <v/>
      </c>
      <c r="AP10" t="str">
        <f t="shared" ref="AP10:AP47" si="34">IF(AO10&lt;&gt;"",COUNTIF($AO$2:AO10,"?*"),"")</f>
        <v/>
      </c>
      <c r="AQ10" t="str">
        <f>IF(((((DATASET!$C10='4 · Board Report'!$D$5)+('4 · Board Report'!$D$5=""))*((DATASET!$D10='4 · Board Report'!$D$6)+('4 · Board Report'!$D$6=""))*((DATASET!$E10='4 · Board Report'!$D$7)+('4 · Board Report'!$D$7=""))*(DATASET!$F10&lt;&gt;"")*(DATASET!$G10&lt;&gt;""))*(SUMPRODUCT((DATASET!$F$2:$F9=DATASET!$F10)*((DATASET!$C$2:$C9='4 · Board Report'!$D$5)+('4 · Board Report'!$D$5=""))*((DATASET!$D$2:$D9='4 · Board Report'!$D$6)+('4 · Board Report'!$D$6=""))*((DATASET!$E$2:$E9='4 · Board Report'!$D$7)+('4 · Board Report'!$D$7=""))*(DATASET!$F$2:$F9&lt;&gt;"")*(DATASET!$G$2:$G9&lt;&gt;""))=0))&gt;0,DATASET!$F10,"")</f>
        <v/>
      </c>
      <c r="AR10" t="str">
        <f t="shared" ref="AR10:AR47" si="35">IF(AQ10&lt;&gt;"",COUNTIF($AQ$2:AQ10,"?*"),"")</f>
        <v/>
      </c>
      <c r="AU10">
        <f>IF((((DATASET!$C10='5 · Modern Console'!$B$4)+('5 · Modern Console'!$B$4=""))*((DATASET!$D10='5 · Modern Console'!$D$4)+('5 · Modern Console'!$D$4=""))*((DATASET!$E10='5 · Modern Console'!$F$4)+('5 · Modern Console'!$F$4=""))*((DATASET!$F10='5 · Modern Console'!$H$4)+('5 · Modern Console'!$H$4=""))*(DATASET!$G10&lt;&gt;""))&gt;0,1,0)</f>
        <v>1</v>
      </c>
      <c r="AV10">
        <f t="shared" ref="AV10:AV47" si="36">IF(AU10=1,SUM($AU$2:AU10),"")</f>
        <v>9</v>
      </c>
      <c r="AW10" s="103">
        <f>IF(AU10=1,DATASET!$I10,"")</f>
        <v>19975.900000000001</v>
      </c>
      <c r="AX10" t="str">
        <f>IF(((((DATASET!$C10='5 · Modern Console'!$B$4)+('5 · Modern Console'!$B$4=""))*(DATASET!$D10&lt;&gt;"")*(DATASET!$G10&lt;&gt;""))*(SUMPRODUCT((DATASET!$D$2:$D9=DATASET!$D10)*((DATASET!$C$2:$C9='5 · Modern Console'!$B$4)+('5 · Modern Console'!$B$4=""))*(DATASET!$D$2:$D9&lt;&gt;"")*(DATASET!$G$2:$G9&lt;&gt;""))=0))&gt;0,DATASET!$D10,"")</f>
        <v/>
      </c>
      <c r="AY10" t="str">
        <f t="shared" ref="AY10:AY47" si="37">IF(AX10&lt;&gt;"",COUNTIF($AX$2:AX10,"?*"),"")</f>
        <v/>
      </c>
      <c r="AZ10" t="str">
        <f>IF(((((DATASET!$C10='5 · Modern Console'!$B$4)+('5 · Modern Console'!$B$4=""))*((DATASET!$D10='5 · Modern Console'!$D$4)+('5 · Modern Console'!$D$4=""))*(DATASET!$E10&lt;&gt;"")*(DATASET!$G10&lt;&gt;""))*(SUMPRODUCT((DATASET!$E$2:$E9=DATASET!$E10)*((DATASET!$C$2:$C9='5 · Modern Console'!$B$4)+('5 · Modern Console'!$B$4=""))*((DATASET!$D$2:$D9='5 · Modern Console'!$D$4)+('5 · Modern Console'!$D$4=""))*(DATASET!$E$2:$E9&lt;&gt;"")*(DATASET!$G$2:$G9&lt;&gt;""))=0))&gt;0,DATASET!$E10,"")</f>
        <v/>
      </c>
      <c r="BA10" t="str">
        <f t="shared" ref="BA10:BA47" si="38">IF(AZ10&lt;&gt;"",COUNTIF($AZ$2:AZ10,"?*"),"")</f>
        <v/>
      </c>
      <c r="BB10" t="str">
        <f>IF(((((DATASET!$C10='5 · Modern Console'!$B$4)+('5 · Modern Console'!$B$4=""))*((DATASET!$D10='5 · Modern Console'!$D$4)+('5 · Modern Console'!$D$4=""))*((DATASET!$E10='5 · Modern Console'!$F$4)+('5 · Modern Console'!$F$4=""))*(DATASET!$F10&lt;&gt;"")*(DATASET!$G10&lt;&gt;""))*(SUMPRODUCT((DATASET!$F$2:$F9=DATASET!$F10)*((DATASET!$C$2:$C9='5 · Modern Console'!$B$4)+('5 · Modern Console'!$B$4=""))*((DATASET!$D$2:$D9='5 · Modern Console'!$D$4)+('5 · Modern Console'!$D$4=""))*((DATASET!$E$2:$E9='5 · Modern Console'!$F$4)+('5 · Modern Console'!$F$4=""))*(DATASET!$F$2:$F9&lt;&gt;"")*(DATASET!$G$2:$G9&lt;&gt;""))=0))&gt;0,DATASET!$F10,"")</f>
        <v/>
      </c>
      <c r="BC10" t="str">
        <f t="shared" ref="BC10:BC47" si="39">IF(BB10&lt;&gt;"",COUNTIF($BB$2:BB10,"?*"),"")</f>
        <v/>
      </c>
    </row>
    <row r="11" ht="15" customHeight="1">
      <c r="C11">
        <f>IF((((DATASET!$C11='1 · Executive View'!$B$6)+('1 · Executive View'!$B$6=""))*((DATASET!$D11='1 · Executive View'!$D$6)+('1 · Executive View'!$D$6=""))*((DATASET!$E11='1 · Executive View'!$F$6)+('1 · Executive View'!$F$6=""))*((DATASET!$F11='1 · Executive View'!$H$6)+('1 · Executive View'!$H$6=""))*(DATASET!$G11&lt;&gt;""))&gt;0,1,0)</f>
        <v>0</v>
      </c>
      <c r="D11" t="str">
        <f t="shared" si="20"/>
        <v/>
      </c>
      <c r="E11" s="103" t="str">
        <f>IF(C11=1,DATASET!$I11,"")</f>
        <v/>
      </c>
      <c r="F11" t="str">
        <f>IF(((((DATASET!$C11='1 · Executive View'!$B$6)+('1 · Executive View'!$B$6=""))*(DATASET!$D11&lt;&gt;"")*(DATASET!$G11&lt;&gt;""))*(SUMPRODUCT((DATASET!$D$2:$D10=DATASET!$D11)*((DATASET!$C$2:$C10='1 · Executive View'!$B$6)+('1 · Executive View'!$B$6=""))*(DATASET!$D$2:$D10&lt;&gt;"")*(DATASET!$G$2:$G10&lt;&gt;""))=0))&gt;0,DATASET!$D11,"")</f>
        <v/>
      </c>
      <c r="G11" t="str">
        <f t="shared" si="21"/>
        <v/>
      </c>
      <c r="H11" t="str">
        <f>IF(((((DATASET!$C11='1 · Executive View'!$B$6)+('1 · Executive View'!$B$6=""))*((DATASET!$D11='1 · Executive View'!$D$6)+('1 · Executive View'!$D$6=""))*(DATASET!$E11&lt;&gt;"")*(DATASET!$G11&lt;&gt;""))*(SUMPRODUCT((DATASET!$E$2:$E10=DATASET!$E11)*((DATASET!$C$2:$C10='1 · Executive View'!$B$6)+('1 · Executive View'!$B$6=""))*((DATASET!$D$2:$D10='1 · Executive View'!$D$6)+('1 · Executive View'!$D$6=""))*(DATASET!$E$2:$E10&lt;&gt;"")*(DATASET!$G$2:$G10&lt;&gt;""))=0))&gt;0,DATASET!$E11,"")</f>
        <v/>
      </c>
      <c r="I11" t="str">
        <f t="shared" si="22"/>
        <v/>
      </c>
      <c r="J11" t="str">
        <f>IF(((((DATASET!$C11='1 · Executive View'!$B$6)+('1 · Executive View'!$B$6=""))*((DATASET!$D11='1 · Executive View'!$D$6)+('1 · Executive View'!$D$6=""))*((DATASET!$E11='1 · Executive View'!$F$6)+('1 · Executive View'!$F$6=""))*(DATASET!$F11&lt;&gt;"")*(DATASET!$G11&lt;&gt;""))*(SUMPRODUCT((DATASET!$F$2:$F10=DATASET!$F11)*((DATASET!$C$2:$C10='1 · Executive View'!$B$6)+('1 · Executive View'!$B$6=""))*((DATASET!$D$2:$D10='1 · Executive View'!$D$6)+('1 · Executive View'!$D$6=""))*((DATASET!$E$2:$E10='1 · Executive View'!$F$6)+('1 · Executive View'!$F$6=""))*(DATASET!$F$2:$F10&lt;&gt;"")*(DATASET!$G$2:$G10&lt;&gt;""))=0))&gt;0,DATASET!$F11,"")</f>
        <v/>
      </c>
      <c r="K11" t="str">
        <f t="shared" si="23"/>
        <v/>
      </c>
      <c r="N11">
        <f>IF((((DATASET!$C11='2 · Sidebar Studio'!$B$7)+('2 · Sidebar Studio'!$B$7=""))*((DATASET!$D11='2 · Sidebar Studio'!$B$9)+('2 · Sidebar Studio'!$B$9=""))*((DATASET!$E11='2 · Sidebar Studio'!$B$11)+('2 · Sidebar Studio'!$B$11=""))*((DATASET!$F11='2 · Sidebar Studio'!$B$13)+('2 · Sidebar Studio'!$B$13=""))*(DATASET!$G11&lt;&gt;""))&gt;0,1,0)</f>
        <v>1</v>
      </c>
      <c r="O11">
        <f t="shared" si="24"/>
        <v>10</v>
      </c>
      <c r="P11" s="103">
        <f>IF(N11=1,DATASET!$I11,"")</f>
        <v>100</v>
      </c>
      <c r="Q11" t="str">
        <f>IF(((((DATASET!$C11='2 · Sidebar Studio'!$B$7)+('2 · Sidebar Studio'!$B$7=""))*(DATASET!$D11&lt;&gt;"")*(DATASET!$G11&lt;&gt;""))*(SUMPRODUCT((DATASET!$D$2:$D10=DATASET!$D11)*((DATASET!$C$2:$C10='2 · Sidebar Studio'!$B$7)+('2 · Sidebar Studio'!$B$7=""))*(DATASET!$D$2:$D10&lt;&gt;"")*(DATASET!$G$2:$G10&lt;&gt;""))=0))&gt;0,DATASET!$D11,"")</f>
        <v xml:space="preserve">14) Oneri diversi di gestione</v>
      </c>
      <c r="R11">
        <f t="shared" si="25"/>
        <v>4</v>
      </c>
      <c r="S11" t="str">
        <f>IF(((((DATASET!$C11='2 · Sidebar Studio'!$B$7)+('2 · Sidebar Studio'!$B$7=""))*((DATASET!$D11='2 · Sidebar Studio'!$B$9)+('2 · Sidebar Studio'!$B$9=""))*(DATASET!$E11&lt;&gt;"")*(DATASET!$G11&lt;&gt;""))*(SUMPRODUCT((DATASET!$E$2:$E10=DATASET!$E11)*((DATASET!$C$2:$C10='2 · Sidebar Studio'!$B$7)+('2 · Sidebar Studio'!$B$7=""))*((DATASET!$D$2:$D10='2 · Sidebar Studio'!$B$9)+('2 · Sidebar Studio'!$B$9=""))*(DATASET!$E$2:$E10&lt;&gt;"")*(DATASET!$G$2:$G10&lt;&gt;""))=0))&gt;0,DATASET!$E11,"")</f>
        <v/>
      </c>
      <c r="T11" t="str">
        <f t="shared" si="26"/>
        <v/>
      </c>
      <c r="U11" t="str">
        <f>IF(((((DATASET!$C11='2 · Sidebar Studio'!$B$7)+('2 · Sidebar Studio'!$B$7=""))*((DATASET!$D11='2 · Sidebar Studio'!$B$9)+('2 · Sidebar Studio'!$B$9=""))*((DATASET!$E11='2 · Sidebar Studio'!$B$11)+('2 · Sidebar Studio'!$B$11=""))*(DATASET!$F11&lt;&gt;"")*(DATASET!$G11&lt;&gt;""))*(SUMPRODUCT((DATASET!$F$2:$F10=DATASET!$F11)*((DATASET!$C$2:$C10='2 · Sidebar Studio'!$B$7)+('2 · Sidebar Studio'!$B$7=""))*((DATASET!$D$2:$D10='2 · Sidebar Studio'!$B$9)+('2 · Sidebar Studio'!$B$9=""))*((DATASET!$E$2:$E10='2 · Sidebar Studio'!$B$11)+('2 · Sidebar Studio'!$B$11=""))*(DATASET!$F$2:$F10&lt;&gt;"")*(DATASET!$G$2:$G10&lt;&gt;""))=0))&gt;0,DATASET!$F11,"")</f>
        <v/>
      </c>
      <c r="V11" t="str">
        <f t="shared" si="27"/>
        <v/>
      </c>
      <c r="Y11">
        <f>IF((((DATASET!$C11='3 · KPI Cards'!$B$9)+('3 · KPI Cards'!$B$9=""))*((DATASET!$D11='3 · KPI Cards'!$D$9)+('3 · KPI Cards'!$D$9=""))*((DATASET!$E11='3 · KPI Cards'!$F$9)+('3 · KPI Cards'!$F$9=""))*((DATASET!$F11='3 · KPI Cards'!$H$9)+('3 · KPI Cards'!$H$9=""))*(DATASET!$G11&lt;&gt;""))&gt;0,1,0)</f>
        <v>1</v>
      </c>
      <c r="Z11">
        <f t="shared" si="28"/>
        <v>10</v>
      </c>
      <c r="AA11" s="103">
        <f>IF(Y11=1,DATASET!$I11,"")</f>
        <v>100</v>
      </c>
      <c r="AB11" t="str">
        <f>IF(((((DATASET!$C11='3 · KPI Cards'!$B$9)+('3 · KPI Cards'!$B$9=""))*(DATASET!$D11&lt;&gt;"")*(DATASET!$G11&lt;&gt;""))*(SUMPRODUCT((DATASET!$D$2:$D10=DATASET!$D11)*((DATASET!$C$2:$C10='3 · KPI Cards'!$B$9)+('3 · KPI Cards'!$B$9=""))*(DATASET!$D$2:$D10&lt;&gt;"")*(DATASET!$G$2:$G10&lt;&gt;""))=0))&gt;0,DATASET!$D11,"")</f>
        <v xml:space="preserve">14) Oneri diversi di gestione</v>
      </c>
      <c r="AC11">
        <f t="shared" si="29"/>
        <v>4</v>
      </c>
      <c r="AD11" t="str">
        <f>IF(((((DATASET!$C11='3 · KPI Cards'!$B$9)+('3 · KPI Cards'!$B$9=""))*((DATASET!$D11='3 · KPI Cards'!$D$9)+('3 · KPI Cards'!$D$9=""))*(DATASET!$E11&lt;&gt;"")*(DATASET!$G11&lt;&gt;""))*(SUMPRODUCT((DATASET!$E$2:$E10=DATASET!$E11)*((DATASET!$C$2:$C10='3 · KPI Cards'!$B$9)+('3 · KPI Cards'!$B$9=""))*((DATASET!$D$2:$D10='3 · KPI Cards'!$D$9)+('3 · KPI Cards'!$D$9=""))*(DATASET!$E$2:$E10&lt;&gt;"")*(DATASET!$G$2:$G10&lt;&gt;""))=0))&gt;0,DATASET!$E11,"")</f>
        <v/>
      </c>
      <c r="AE11" t="str">
        <f t="shared" si="30"/>
        <v/>
      </c>
      <c r="AF11" t="str">
        <f>IF(((((DATASET!$C11='3 · KPI Cards'!$B$9)+('3 · KPI Cards'!$B$9=""))*((DATASET!$D11='3 · KPI Cards'!$D$9)+('3 · KPI Cards'!$D$9=""))*((DATASET!$E11='3 · KPI Cards'!$F$9)+('3 · KPI Cards'!$F$9=""))*(DATASET!$F11&lt;&gt;"")*(DATASET!$G11&lt;&gt;""))*(SUMPRODUCT((DATASET!$F$2:$F10=DATASET!$F11)*((DATASET!$C$2:$C10='3 · KPI Cards'!$B$9)+('3 · KPI Cards'!$B$9=""))*((DATASET!$D$2:$D10='3 · KPI Cards'!$D$9)+('3 · KPI Cards'!$D$9=""))*((DATASET!$E$2:$E10='3 · KPI Cards'!$F$9)+('3 · KPI Cards'!$F$9=""))*(DATASET!$F$2:$F10&lt;&gt;"")*(DATASET!$G$2:$G10&lt;&gt;""))=0))&gt;0,DATASET!$F11,"")</f>
        <v/>
      </c>
      <c r="AG11" t="str">
        <f t="shared" si="31"/>
        <v/>
      </c>
      <c r="AJ11">
        <f>IF((((DATASET!$C11='4 · Board Report'!$D$5)+('4 · Board Report'!$D$5=""))*((DATASET!$D11='4 · Board Report'!$D$6)+('4 · Board Report'!$D$6=""))*((DATASET!$E11='4 · Board Report'!$D$7)+('4 · Board Report'!$D$7=""))*((DATASET!$F11='4 · Board Report'!$D$8)+('4 · Board Report'!$D$8=""))*(DATASET!$G11&lt;&gt;""))&gt;0,1,0)</f>
        <v>0</v>
      </c>
      <c r="AK11" t="str">
        <f t="shared" si="32"/>
        <v/>
      </c>
      <c r="AL11" s="103" t="str">
        <f>IF(AJ11=1,DATASET!$I11,"")</f>
        <v/>
      </c>
      <c r="AM11" t="str">
        <f>IF(((((DATASET!$C11='4 · Board Report'!$D$5)+('4 · Board Report'!$D$5=""))*(DATASET!$D11&lt;&gt;"")*(DATASET!$G11&lt;&gt;""))*(SUMPRODUCT((DATASET!$D$2:$D10=DATASET!$D11)*((DATASET!$C$2:$C10='4 · Board Report'!$D$5)+('4 · Board Report'!$D$5=""))*(DATASET!$D$2:$D10&lt;&gt;"")*(DATASET!$G$2:$G10&lt;&gt;""))=0))&gt;0,DATASET!$D11,"")</f>
        <v/>
      </c>
      <c r="AN11" t="str">
        <f t="shared" si="33"/>
        <v/>
      </c>
      <c r="AO11" t="str">
        <f>IF(((((DATASET!$C11='4 · Board Report'!$D$5)+('4 · Board Report'!$D$5=""))*((DATASET!$D11='4 · Board Report'!$D$6)+('4 · Board Report'!$D$6=""))*(DATASET!$E11&lt;&gt;"")*(DATASET!$G11&lt;&gt;""))*(SUMPRODUCT((DATASET!$E$2:$E10=DATASET!$E11)*((DATASET!$C$2:$C10='4 · Board Report'!$D$5)+('4 · Board Report'!$D$5=""))*((DATASET!$D$2:$D10='4 · Board Report'!$D$6)+('4 · Board Report'!$D$6=""))*(DATASET!$E$2:$E10&lt;&gt;"")*(DATASET!$G$2:$G10&lt;&gt;""))=0))&gt;0,DATASET!$E11,"")</f>
        <v/>
      </c>
      <c r="AP11" t="str">
        <f t="shared" si="34"/>
        <v/>
      </c>
      <c r="AQ11" t="str">
        <f>IF(((((DATASET!$C11='4 · Board Report'!$D$5)+('4 · Board Report'!$D$5=""))*((DATASET!$D11='4 · Board Report'!$D$6)+('4 · Board Report'!$D$6=""))*((DATASET!$E11='4 · Board Report'!$D$7)+('4 · Board Report'!$D$7=""))*(DATASET!$F11&lt;&gt;"")*(DATASET!$G11&lt;&gt;""))*(SUMPRODUCT((DATASET!$F$2:$F10=DATASET!$F11)*((DATASET!$C$2:$C10='4 · Board Report'!$D$5)+('4 · Board Report'!$D$5=""))*((DATASET!$D$2:$D10='4 · Board Report'!$D$6)+('4 · Board Report'!$D$6=""))*((DATASET!$E$2:$E10='4 · Board Report'!$D$7)+('4 · Board Report'!$D$7=""))*(DATASET!$F$2:$F10&lt;&gt;"")*(DATASET!$G$2:$G10&lt;&gt;""))=0))&gt;0,DATASET!$F11,"")</f>
        <v/>
      </c>
      <c r="AR11" t="str">
        <f t="shared" si="35"/>
        <v/>
      </c>
      <c r="AU11">
        <f>IF((((DATASET!$C11='5 · Modern Console'!$B$4)+('5 · Modern Console'!$B$4=""))*((DATASET!$D11='5 · Modern Console'!$D$4)+('5 · Modern Console'!$D$4=""))*((DATASET!$E11='5 · Modern Console'!$F$4)+('5 · Modern Console'!$F$4=""))*((DATASET!$F11='5 · Modern Console'!$H$4)+('5 · Modern Console'!$H$4=""))*(DATASET!$G11&lt;&gt;""))&gt;0,1,0)</f>
        <v>1</v>
      </c>
      <c r="AV11">
        <f t="shared" si="36"/>
        <v>10</v>
      </c>
      <c r="AW11" s="103">
        <f>IF(AU11=1,DATASET!$I11,"")</f>
        <v>100</v>
      </c>
      <c r="AX11" t="str">
        <f>IF(((((DATASET!$C11='5 · Modern Console'!$B$4)+('5 · Modern Console'!$B$4=""))*(DATASET!$D11&lt;&gt;"")*(DATASET!$G11&lt;&gt;""))*(SUMPRODUCT((DATASET!$D$2:$D10=DATASET!$D11)*((DATASET!$C$2:$C10='5 · Modern Console'!$B$4)+('5 · Modern Console'!$B$4=""))*(DATASET!$D$2:$D10&lt;&gt;"")*(DATASET!$G$2:$G10&lt;&gt;""))=0))&gt;0,DATASET!$D11,"")</f>
        <v xml:space="preserve">14) Oneri diversi di gestione</v>
      </c>
      <c r="AY11">
        <f t="shared" si="37"/>
        <v>4</v>
      </c>
      <c r="AZ11" t="str">
        <f>IF(((((DATASET!$C11='5 · Modern Console'!$B$4)+('5 · Modern Console'!$B$4=""))*((DATASET!$D11='5 · Modern Console'!$D$4)+('5 · Modern Console'!$D$4=""))*(DATASET!$E11&lt;&gt;"")*(DATASET!$G11&lt;&gt;""))*(SUMPRODUCT((DATASET!$E$2:$E10=DATASET!$E11)*((DATASET!$C$2:$C10='5 · Modern Console'!$B$4)+('5 · Modern Console'!$B$4=""))*((DATASET!$D$2:$D10='5 · Modern Console'!$D$4)+('5 · Modern Console'!$D$4=""))*(DATASET!$E$2:$E10&lt;&gt;"")*(DATASET!$G$2:$G10&lt;&gt;""))=0))&gt;0,DATASET!$E11,"")</f>
        <v/>
      </c>
      <c r="BA11" t="str">
        <f t="shared" si="38"/>
        <v/>
      </c>
      <c r="BB11" t="str">
        <f>IF(((((DATASET!$C11='5 · Modern Console'!$B$4)+('5 · Modern Console'!$B$4=""))*((DATASET!$D11='5 · Modern Console'!$D$4)+('5 · Modern Console'!$D$4=""))*((DATASET!$E11='5 · Modern Console'!$F$4)+('5 · Modern Console'!$F$4=""))*(DATASET!$F11&lt;&gt;"")*(DATASET!$G11&lt;&gt;""))*(SUMPRODUCT((DATASET!$F$2:$F10=DATASET!$F11)*((DATASET!$C$2:$C10='5 · Modern Console'!$B$4)+('5 · Modern Console'!$B$4=""))*((DATASET!$D$2:$D10='5 · Modern Console'!$D$4)+('5 · Modern Console'!$D$4=""))*((DATASET!$E$2:$E10='5 · Modern Console'!$F$4)+('5 · Modern Console'!$F$4=""))*(DATASET!$F$2:$F10&lt;&gt;"")*(DATASET!$G$2:$G10&lt;&gt;""))=0))&gt;0,DATASET!$F11,"")</f>
        <v/>
      </c>
      <c r="BC11" t="str">
        <f t="shared" si="39"/>
        <v/>
      </c>
    </row>
    <row r="12" ht="15" customHeight="1">
      <c r="C12">
        <f>IF((((DATASET!$C12='1 · Executive View'!$B$6)+('1 · Executive View'!$B$6=""))*((DATASET!$D12='1 · Executive View'!$D$6)+('1 · Executive View'!$D$6=""))*((DATASET!$E12='1 · Executive View'!$F$6)+('1 · Executive View'!$F$6=""))*((DATASET!$F12='1 · Executive View'!$H$6)+('1 · Executive View'!$H$6=""))*(DATASET!$G12&lt;&gt;""))&gt;0,1,0)</f>
        <v>0</v>
      </c>
      <c r="D12" t="str">
        <f t="shared" si="20"/>
        <v/>
      </c>
      <c r="E12" s="103" t="str">
        <f>IF(C12=1,DATASET!$I12,"")</f>
        <v/>
      </c>
      <c r="F12" t="str">
        <f>IF(((((DATASET!$C12='1 · Executive View'!$B$6)+('1 · Executive View'!$B$6=""))*(DATASET!$D12&lt;&gt;"")*(DATASET!$G12&lt;&gt;""))*(SUMPRODUCT((DATASET!$D$2:$D11=DATASET!$D12)*((DATASET!$C$2:$C11='1 · Executive View'!$B$6)+('1 · Executive View'!$B$6=""))*(DATASET!$D$2:$D11&lt;&gt;"")*(DATASET!$G$2:$G11&lt;&gt;""))=0))&gt;0,DATASET!$D12,"")</f>
        <v/>
      </c>
      <c r="G12" t="str">
        <f t="shared" si="21"/>
        <v/>
      </c>
      <c r="H12" t="str">
        <f>IF(((((DATASET!$C12='1 · Executive View'!$B$6)+('1 · Executive View'!$B$6=""))*((DATASET!$D12='1 · Executive View'!$D$6)+('1 · Executive View'!$D$6=""))*(DATASET!$E12&lt;&gt;"")*(DATASET!$G12&lt;&gt;""))*(SUMPRODUCT((DATASET!$E$2:$E11=DATASET!$E12)*((DATASET!$C$2:$C11='1 · Executive View'!$B$6)+('1 · Executive View'!$B$6=""))*((DATASET!$D$2:$D11='1 · Executive View'!$D$6)+('1 · Executive View'!$D$6=""))*(DATASET!$E$2:$E11&lt;&gt;"")*(DATASET!$G$2:$G11&lt;&gt;""))=0))&gt;0,DATASET!$E12,"")</f>
        <v/>
      </c>
      <c r="I12" t="str">
        <f t="shared" si="22"/>
        <v/>
      </c>
      <c r="J12" t="str">
        <f>IF(((((DATASET!$C12='1 · Executive View'!$B$6)+('1 · Executive View'!$B$6=""))*((DATASET!$D12='1 · Executive View'!$D$6)+('1 · Executive View'!$D$6=""))*((DATASET!$E12='1 · Executive View'!$F$6)+('1 · Executive View'!$F$6=""))*(DATASET!$F12&lt;&gt;"")*(DATASET!$G12&lt;&gt;""))*(SUMPRODUCT((DATASET!$F$2:$F11=DATASET!$F12)*((DATASET!$C$2:$C11='1 · Executive View'!$B$6)+('1 · Executive View'!$B$6=""))*((DATASET!$D$2:$D11='1 · Executive View'!$D$6)+('1 · Executive View'!$D$6=""))*((DATASET!$E$2:$E11='1 · Executive View'!$F$6)+('1 · Executive View'!$F$6=""))*(DATASET!$F$2:$F11&lt;&gt;"")*(DATASET!$G$2:$G11&lt;&gt;""))=0))&gt;0,DATASET!$F12,"")</f>
        <v/>
      </c>
      <c r="K12" t="str">
        <f t="shared" si="23"/>
        <v/>
      </c>
      <c r="N12">
        <f>IF((((DATASET!$C12='2 · Sidebar Studio'!$B$7)+('2 · Sidebar Studio'!$B$7=""))*((DATASET!$D12='2 · Sidebar Studio'!$B$9)+('2 · Sidebar Studio'!$B$9=""))*((DATASET!$E12='2 · Sidebar Studio'!$B$11)+('2 · Sidebar Studio'!$B$11=""))*((DATASET!$F12='2 · Sidebar Studio'!$B$13)+('2 · Sidebar Studio'!$B$13=""))*(DATASET!$G12&lt;&gt;""))&gt;0,1,0)</f>
        <v>1</v>
      </c>
      <c r="O12">
        <f t="shared" si="24"/>
        <v>11</v>
      </c>
      <c r="P12" s="103">
        <f>IF(N12=1,DATASET!$I12,"")</f>
        <v>309.87</v>
      </c>
      <c r="Q12" t="str">
        <f>IF(((((DATASET!$C12='2 · Sidebar Studio'!$B$7)+('2 · Sidebar Studio'!$B$7=""))*(DATASET!$D12&lt;&gt;"")*(DATASET!$G12&lt;&gt;""))*(SUMPRODUCT((DATASET!$D$2:$D11=DATASET!$D12)*((DATASET!$C$2:$C11='2 · Sidebar Studio'!$B$7)+('2 · Sidebar Studio'!$B$7=""))*(DATASET!$D$2:$D11&lt;&gt;"")*(DATASET!$G$2:$G11&lt;&gt;""))=0))&gt;0,DATASET!$D12,"")</f>
        <v/>
      </c>
      <c r="R12" t="str">
        <f t="shared" si="25"/>
        <v/>
      </c>
      <c r="S12" t="str">
        <f>IF(((((DATASET!$C12='2 · Sidebar Studio'!$B$7)+('2 · Sidebar Studio'!$B$7=""))*((DATASET!$D12='2 · Sidebar Studio'!$B$9)+('2 · Sidebar Studio'!$B$9=""))*(DATASET!$E12&lt;&gt;"")*(DATASET!$G12&lt;&gt;""))*(SUMPRODUCT((DATASET!$E$2:$E11=DATASET!$E12)*((DATASET!$C$2:$C11='2 · Sidebar Studio'!$B$7)+('2 · Sidebar Studio'!$B$7=""))*((DATASET!$D$2:$D11='2 · Sidebar Studio'!$B$9)+('2 · Sidebar Studio'!$B$9=""))*(DATASET!$E$2:$E11&lt;&gt;"")*(DATASET!$G$2:$G11&lt;&gt;""))=0))&gt;0,DATASET!$E12,"")</f>
        <v/>
      </c>
      <c r="T12" t="str">
        <f t="shared" si="26"/>
        <v/>
      </c>
      <c r="U12" t="str">
        <f>IF(((((DATASET!$C12='2 · Sidebar Studio'!$B$7)+('2 · Sidebar Studio'!$B$7=""))*((DATASET!$D12='2 · Sidebar Studio'!$B$9)+('2 · Sidebar Studio'!$B$9=""))*((DATASET!$E12='2 · Sidebar Studio'!$B$11)+('2 · Sidebar Studio'!$B$11=""))*(DATASET!$F12&lt;&gt;"")*(DATASET!$G12&lt;&gt;""))*(SUMPRODUCT((DATASET!$F$2:$F11=DATASET!$F12)*((DATASET!$C$2:$C11='2 · Sidebar Studio'!$B$7)+('2 · Sidebar Studio'!$B$7=""))*((DATASET!$D$2:$D11='2 · Sidebar Studio'!$B$9)+('2 · Sidebar Studio'!$B$9=""))*((DATASET!$E$2:$E11='2 · Sidebar Studio'!$B$11)+('2 · Sidebar Studio'!$B$11=""))*(DATASET!$F$2:$F11&lt;&gt;"")*(DATASET!$G$2:$G11&lt;&gt;""))=0))&gt;0,DATASET!$F12,"")</f>
        <v/>
      </c>
      <c r="V12" t="str">
        <f t="shared" si="27"/>
        <v/>
      </c>
      <c r="Y12">
        <f>IF((((DATASET!$C12='3 · KPI Cards'!$B$9)+('3 · KPI Cards'!$B$9=""))*((DATASET!$D12='3 · KPI Cards'!$D$9)+('3 · KPI Cards'!$D$9=""))*((DATASET!$E12='3 · KPI Cards'!$F$9)+('3 · KPI Cards'!$F$9=""))*((DATASET!$F12='3 · KPI Cards'!$H$9)+('3 · KPI Cards'!$H$9=""))*(DATASET!$G12&lt;&gt;""))&gt;0,1,0)</f>
        <v>1</v>
      </c>
      <c r="Z12">
        <f t="shared" si="28"/>
        <v>11</v>
      </c>
      <c r="AA12" s="103">
        <f>IF(Y12=1,DATASET!$I12,"")</f>
        <v>309.87</v>
      </c>
      <c r="AB12" t="str">
        <f>IF(((((DATASET!$C12='3 · KPI Cards'!$B$9)+('3 · KPI Cards'!$B$9=""))*(DATASET!$D12&lt;&gt;"")*(DATASET!$G12&lt;&gt;""))*(SUMPRODUCT((DATASET!$D$2:$D11=DATASET!$D12)*((DATASET!$C$2:$C11='3 · KPI Cards'!$B$9)+('3 · KPI Cards'!$B$9=""))*(DATASET!$D$2:$D11&lt;&gt;"")*(DATASET!$G$2:$G11&lt;&gt;""))=0))&gt;0,DATASET!$D12,"")</f>
        <v/>
      </c>
      <c r="AC12" t="str">
        <f t="shared" si="29"/>
        <v/>
      </c>
      <c r="AD12" t="str">
        <f>IF(((((DATASET!$C12='3 · KPI Cards'!$B$9)+('3 · KPI Cards'!$B$9=""))*((DATASET!$D12='3 · KPI Cards'!$D$9)+('3 · KPI Cards'!$D$9=""))*(DATASET!$E12&lt;&gt;"")*(DATASET!$G12&lt;&gt;""))*(SUMPRODUCT((DATASET!$E$2:$E11=DATASET!$E12)*((DATASET!$C$2:$C11='3 · KPI Cards'!$B$9)+('3 · KPI Cards'!$B$9=""))*((DATASET!$D$2:$D11='3 · KPI Cards'!$D$9)+('3 · KPI Cards'!$D$9=""))*(DATASET!$E$2:$E11&lt;&gt;"")*(DATASET!$G$2:$G11&lt;&gt;""))=0))&gt;0,DATASET!$E12,"")</f>
        <v/>
      </c>
      <c r="AE12" t="str">
        <f t="shared" si="30"/>
        <v/>
      </c>
      <c r="AF12" t="str">
        <f>IF(((((DATASET!$C12='3 · KPI Cards'!$B$9)+('3 · KPI Cards'!$B$9=""))*((DATASET!$D12='3 · KPI Cards'!$D$9)+('3 · KPI Cards'!$D$9=""))*((DATASET!$E12='3 · KPI Cards'!$F$9)+('3 · KPI Cards'!$F$9=""))*(DATASET!$F12&lt;&gt;"")*(DATASET!$G12&lt;&gt;""))*(SUMPRODUCT((DATASET!$F$2:$F11=DATASET!$F12)*((DATASET!$C$2:$C11='3 · KPI Cards'!$B$9)+('3 · KPI Cards'!$B$9=""))*((DATASET!$D$2:$D11='3 · KPI Cards'!$D$9)+('3 · KPI Cards'!$D$9=""))*((DATASET!$E$2:$E11='3 · KPI Cards'!$F$9)+('3 · KPI Cards'!$F$9=""))*(DATASET!$F$2:$F11&lt;&gt;"")*(DATASET!$G$2:$G11&lt;&gt;""))=0))&gt;0,DATASET!$F12,"")</f>
        <v/>
      </c>
      <c r="AG12" t="str">
        <f t="shared" si="31"/>
        <v/>
      </c>
      <c r="AJ12">
        <f>IF((((DATASET!$C12='4 · Board Report'!$D$5)+('4 · Board Report'!$D$5=""))*((DATASET!$D12='4 · Board Report'!$D$6)+('4 · Board Report'!$D$6=""))*((DATASET!$E12='4 · Board Report'!$D$7)+('4 · Board Report'!$D$7=""))*((DATASET!$F12='4 · Board Report'!$D$8)+('4 · Board Report'!$D$8=""))*(DATASET!$G12&lt;&gt;""))&gt;0,1,0)</f>
        <v>0</v>
      </c>
      <c r="AK12" t="str">
        <f t="shared" si="32"/>
        <v/>
      </c>
      <c r="AL12" s="103" t="str">
        <f>IF(AJ12=1,DATASET!$I12,"")</f>
        <v/>
      </c>
      <c r="AM12" t="str">
        <f>IF(((((DATASET!$C12='4 · Board Report'!$D$5)+('4 · Board Report'!$D$5=""))*(DATASET!$D12&lt;&gt;"")*(DATASET!$G12&lt;&gt;""))*(SUMPRODUCT((DATASET!$D$2:$D11=DATASET!$D12)*((DATASET!$C$2:$C11='4 · Board Report'!$D$5)+('4 · Board Report'!$D$5=""))*(DATASET!$D$2:$D11&lt;&gt;"")*(DATASET!$G$2:$G11&lt;&gt;""))=0))&gt;0,DATASET!$D12,"")</f>
        <v/>
      </c>
      <c r="AN12" t="str">
        <f t="shared" si="33"/>
        <v/>
      </c>
      <c r="AO12" t="str">
        <f>IF(((((DATASET!$C12='4 · Board Report'!$D$5)+('4 · Board Report'!$D$5=""))*((DATASET!$D12='4 · Board Report'!$D$6)+('4 · Board Report'!$D$6=""))*(DATASET!$E12&lt;&gt;"")*(DATASET!$G12&lt;&gt;""))*(SUMPRODUCT((DATASET!$E$2:$E11=DATASET!$E12)*((DATASET!$C$2:$C11='4 · Board Report'!$D$5)+('4 · Board Report'!$D$5=""))*((DATASET!$D$2:$D11='4 · Board Report'!$D$6)+('4 · Board Report'!$D$6=""))*(DATASET!$E$2:$E11&lt;&gt;"")*(DATASET!$G$2:$G11&lt;&gt;""))=0))&gt;0,DATASET!$E12,"")</f>
        <v/>
      </c>
      <c r="AP12" t="str">
        <f t="shared" si="34"/>
        <v/>
      </c>
      <c r="AQ12" t="str">
        <f>IF(((((DATASET!$C12='4 · Board Report'!$D$5)+('4 · Board Report'!$D$5=""))*((DATASET!$D12='4 · Board Report'!$D$6)+('4 · Board Report'!$D$6=""))*((DATASET!$E12='4 · Board Report'!$D$7)+('4 · Board Report'!$D$7=""))*(DATASET!$F12&lt;&gt;"")*(DATASET!$G12&lt;&gt;""))*(SUMPRODUCT((DATASET!$F$2:$F11=DATASET!$F12)*((DATASET!$C$2:$C11='4 · Board Report'!$D$5)+('4 · Board Report'!$D$5=""))*((DATASET!$D$2:$D11='4 · Board Report'!$D$6)+('4 · Board Report'!$D$6=""))*((DATASET!$E$2:$E11='4 · Board Report'!$D$7)+('4 · Board Report'!$D$7=""))*(DATASET!$F$2:$F11&lt;&gt;"")*(DATASET!$G$2:$G11&lt;&gt;""))=0))&gt;0,DATASET!$F12,"")</f>
        <v/>
      </c>
      <c r="AR12" t="str">
        <f t="shared" si="35"/>
        <v/>
      </c>
      <c r="AU12">
        <f>IF((((DATASET!$C12='5 · Modern Console'!$B$4)+('5 · Modern Console'!$B$4=""))*((DATASET!$D12='5 · Modern Console'!$D$4)+('5 · Modern Console'!$D$4=""))*((DATASET!$E12='5 · Modern Console'!$F$4)+('5 · Modern Console'!$F$4=""))*((DATASET!$F12='5 · Modern Console'!$H$4)+('5 · Modern Console'!$H$4=""))*(DATASET!$G12&lt;&gt;""))&gt;0,1,0)</f>
        <v>1</v>
      </c>
      <c r="AV12">
        <f t="shared" si="36"/>
        <v>11</v>
      </c>
      <c r="AW12" s="103">
        <f>IF(AU12=1,DATASET!$I12,"")</f>
        <v>309.87</v>
      </c>
      <c r="AX12" t="str">
        <f>IF(((((DATASET!$C12='5 · Modern Console'!$B$4)+('5 · Modern Console'!$B$4=""))*(DATASET!$D12&lt;&gt;"")*(DATASET!$G12&lt;&gt;""))*(SUMPRODUCT((DATASET!$D$2:$D11=DATASET!$D12)*((DATASET!$C$2:$C11='5 · Modern Console'!$B$4)+('5 · Modern Console'!$B$4=""))*(DATASET!$D$2:$D11&lt;&gt;"")*(DATASET!$G$2:$G11&lt;&gt;""))=0))&gt;0,DATASET!$D12,"")</f>
        <v/>
      </c>
      <c r="AY12" t="str">
        <f t="shared" si="37"/>
        <v/>
      </c>
      <c r="AZ12" t="str">
        <f>IF(((((DATASET!$C12='5 · Modern Console'!$B$4)+('5 · Modern Console'!$B$4=""))*((DATASET!$D12='5 · Modern Console'!$D$4)+('5 · Modern Console'!$D$4=""))*(DATASET!$E12&lt;&gt;"")*(DATASET!$G12&lt;&gt;""))*(SUMPRODUCT((DATASET!$E$2:$E11=DATASET!$E12)*((DATASET!$C$2:$C11='5 · Modern Console'!$B$4)+('5 · Modern Console'!$B$4=""))*((DATASET!$D$2:$D11='5 · Modern Console'!$D$4)+('5 · Modern Console'!$D$4=""))*(DATASET!$E$2:$E11&lt;&gt;"")*(DATASET!$G$2:$G11&lt;&gt;""))=0))&gt;0,DATASET!$E12,"")</f>
        <v/>
      </c>
      <c r="BA12" t="str">
        <f t="shared" si="38"/>
        <v/>
      </c>
      <c r="BB12" t="str">
        <f>IF(((((DATASET!$C12='5 · Modern Console'!$B$4)+('5 · Modern Console'!$B$4=""))*((DATASET!$D12='5 · Modern Console'!$D$4)+('5 · Modern Console'!$D$4=""))*((DATASET!$E12='5 · Modern Console'!$F$4)+('5 · Modern Console'!$F$4=""))*(DATASET!$F12&lt;&gt;"")*(DATASET!$G12&lt;&gt;""))*(SUMPRODUCT((DATASET!$F$2:$F11=DATASET!$F12)*((DATASET!$C$2:$C11='5 · Modern Console'!$B$4)+('5 · Modern Console'!$B$4=""))*((DATASET!$D$2:$D11='5 · Modern Console'!$D$4)+('5 · Modern Console'!$D$4=""))*((DATASET!$E$2:$E11='5 · Modern Console'!$F$4)+('5 · Modern Console'!$F$4=""))*(DATASET!$F$2:$F11&lt;&gt;"")*(DATASET!$G$2:$G11&lt;&gt;""))=0))&gt;0,DATASET!$F12,"")</f>
        <v/>
      </c>
      <c r="BC12" t="str">
        <f t="shared" si="39"/>
        <v/>
      </c>
    </row>
    <row r="13" ht="15" customHeight="1">
      <c r="C13">
        <f>IF((((DATASET!$C13='1 · Executive View'!$B$6)+('1 · Executive View'!$B$6=""))*((DATASET!$D13='1 · Executive View'!$D$6)+('1 · Executive View'!$D$6=""))*((DATASET!$E13='1 · Executive View'!$F$6)+('1 · Executive View'!$F$6=""))*((DATASET!$F13='1 · Executive View'!$H$6)+('1 · Executive View'!$H$6=""))*(DATASET!$G13&lt;&gt;""))&gt;0,1,0)</f>
        <v>0</v>
      </c>
      <c r="D13" t="str">
        <f t="shared" si="20"/>
        <v/>
      </c>
      <c r="E13" s="103" t="str">
        <f>IF(C13=1,DATASET!$I13,"")</f>
        <v/>
      </c>
      <c r="F13" t="str">
        <f>IF(((((DATASET!$C13='1 · Executive View'!$B$6)+('1 · Executive View'!$B$6=""))*(DATASET!$D13&lt;&gt;"")*(DATASET!$G13&lt;&gt;""))*(SUMPRODUCT((DATASET!$D$2:$D12=DATASET!$D13)*((DATASET!$C$2:$C12='1 · Executive View'!$B$6)+('1 · Executive View'!$B$6=""))*(DATASET!$D$2:$D12&lt;&gt;"")*(DATASET!$G$2:$G12&lt;&gt;""))=0))&gt;0,DATASET!$D13,"")</f>
        <v/>
      </c>
      <c r="G13" t="str">
        <f t="shared" si="21"/>
        <v/>
      </c>
      <c r="H13" t="str">
        <f>IF(((((DATASET!$C13='1 · Executive View'!$B$6)+('1 · Executive View'!$B$6=""))*((DATASET!$D13='1 · Executive View'!$D$6)+('1 · Executive View'!$D$6=""))*(DATASET!$E13&lt;&gt;"")*(DATASET!$G13&lt;&gt;""))*(SUMPRODUCT((DATASET!$E$2:$E12=DATASET!$E13)*((DATASET!$C$2:$C12='1 · Executive View'!$B$6)+('1 · Executive View'!$B$6=""))*((DATASET!$D$2:$D12='1 · Executive View'!$D$6)+('1 · Executive View'!$D$6=""))*(DATASET!$E$2:$E12&lt;&gt;"")*(DATASET!$G$2:$G12&lt;&gt;""))=0))&gt;0,DATASET!$E13,"")</f>
        <v/>
      </c>
      <c r="I13" t="str">
        <f t="shared" si="22"/>
        <v/>
      </c>
      <c r="J13" t="str">
        <f>IF(((((DATASET!$C13='1 · Executive View'!$B$6)+('1 · Executive View'!$B$6=""))*((DATASET!$D13='1 · Executive View'!$D$6)+('1 · Executive View'!$D$6=""))*((DATASET!$E13='1 · Executive View'!$F$6)+('1 · Executive View'!$F$6=""))*(DATASET!$F13&lt;&gt;"")*(DATASET!$G13&lt;&gt;""))*(SUMPRODUCT((DATASET!$F$2:$F12=DATASET!$F13)*((DATASET!$C$2:$C12='1 · Executive View'!$B$6)+('1 · Executive View'!$B$6=""))*((DATASET!$D$2:$D12='1 · Executive View'!$D$6)+('1 · Executive View'!$D$6=""))*((DATASET!$E$2:$E12='1 · Executive View'!$F$6)+('1 · Executive View'!$F$6=""))*(DATASET!$F$2:$F12&lt;&gt;"")*(DATASET!$G$2:$G12&lt;&gt;""))=0))&gt;0,DATASET!$F13,"")</f>
        <v/>
      </c>
      <c r="K13" t="str">
        <f t="shared" si="23"/>
        <v/>
      </c>
      <c r="N13">
        <f>IF((((DATASET!$C13='2 · Sidebar Studio'!$B$7)+('2 · Sidebar Studio'!$B$7=""))*((DATASET!$D13='2 · Sidebar Studio'!$B$9)+('2 · Sidebar Studio'!$B$9=""))*((DATASET!$E13='2 · Sidebar Studio'!$B$11)+('2 · Sidebar Studio'!$B$11=""))*((DATASET!$F13='2 · Sidebar Studio'!$B$13)+('2 · Sidebar Studio'!$B$13=""))*(DATASET!$G13&lt;&gt;""))&gt;0,1,0)</f>
        <v>1</v>
      </c>
      <c r="O13">
        <f t="shared" si="24"/>
        <v>12</v>
      </c>
      <c r="P13" s="103">
        <f>IF(N13=1,DATASET!$I13,"")</f>
        <v>121</v>
      </c>
      <c r="Q13" t="str">
        <f>IF(((((DATASET!$C13='2 · Sidebar Studio'!$B$7)+('2 · Sidebar Studio'!$B$7=""))*(DATASET!$D13&lt;&gt;"")*(DATASET!$G13&lt;&gt;""))*(SUMPRODUCT((DATASET!$D$2:$D12=DATASET!$D13)*((DATASET!$C$2:$C12='2 · Sidebar Studio'!$B$7)+('2 · Sidebar Studio'!$B$7=""))*(DATASET!$D$2:$D12&lt;&gt;"")*(DATASET!$G$2:$G12&lt;&gt;""))=0))&gt;0,DATASET!$D13,"")</f>
        <v/>
      </c>
      <c r="R13" t="str">
        <f t="shared" si="25"/>
        <v/>
      </c>
      <c r="S13" t="str">
        <f>IF(((((DATASET!$C13='2 · Sidebar Studio'!$B$7)+('2 · Sidebar Studio'!$B$7=""))*((DATASET!$D13='2 · Sidebar Studio'!$B$9)+('2 · Sidebar Studio'!$B$9=""))*(DATASET!$E13&lt;&gt;"")*(DATASET!$G13&lt;&gt;""))*(SUMPRODUCT((DATASET!$E$2:$E12=DATASET!$E13)*((DATASET!$C$2:$C12='2 · Sidebar Studio'!$B$7)+('2 · Sidebar Studio'!$B$7=""))*((DATASET!$D$2:$D12='2 · Sidebar Studio'!$B$9)+('2 · Sidebar Studio'!$B$9=""))*(DATASET!$E$2:$E12&lt;&gt;"")*(DATASET!$G$2:$G12&lt;&gt;""))=0))&gt;0,DATASET!$E13,"")</f>
        <v/>
      </c>
      <c r="T13" t="str">
        <f t="shared" si="26"/>
        <v/>
      </c>
      <c r="U13" t="str">
        <f>IF(((((DATASET!$C13='2 · Sidebar Studio'!$B$7)+('2 · Sidebar Studio'!$B$7=""))*((DATASET!$D13='2 · Sidebar Studio'!$B$9)+('2 · Sidebar Studio'!$B$9=""))*((DATASET!$E13='2 · Sidebar Studio'!$B$11)+('2 · Sidebar Studio'!$B$11=""))*(DATASET!$F13&lt;&gt;"")*(DATASET!$G13&lt;&gt;""))*(SUMPRODUCT((DATASET!$F$2:$F12=DATASET!$F13)*((DATASET!$C$2:$C12='2 · Sidebar Studio'!$B$7)+('2 · Sidebar Studio'!$B$7=""))*((DATASET!$D$2:$D12='2 · Sidebar Studio'!$B$9)+('2 · Sidebar Studio'!$B$9=""))*((DATASET!$E$2:$E12='2 · Sidebar Studio'!$B$11)+('2 · Sidebar Studio'!$B$11=""))*(DATASET!$F$2:$F12&lt;&gt;"")*(DATASET!$G$2:$G12&lt;&gt;""))=0))&gt;0,DATASET!$F13,"")</f>
        <v/>
      </c>
      <c r="V13" t="str">
        <f t="shared" si="27"/>
        <v/>
      </c>
      <c r="Y13">
        <f>IF((((DATASET!$C13='3 · KPI Cards'!$B$9)+('3 · KPI Cards'!$B$9=""))*((DATASET!$D13='3 · KPI Cards'!$D$9)+('3 · KPI Cards'!$D$9=""))*((DATASET!$E13='3 · KPI Cards'!$F$9)+('3 · KPI Cards'!$F$9=""))*((DATASET!$F13='3 · KPI Cards'!$H$9)+('3 · KPI Cards'!$H$9=""))*(DATASET!$G13&lt;&gt;""))&gt;0,1,0)</f>
        <v>1</v>
      </c>
      <c r="Z13">
        <f t="shared" si="28"/>
        <v>12</v>
      </c>
      <c r="AA13" s="103">
        <f>IF(Y13=1,DATASET!$I13,"")</f>
        <v>121</v>
      </c>
      <c r="AB13" t="str">
        <f>IF(((((DATASET!$C13='3 · KPI Cards'!$B$9)+('3 · KPI Cards'!$B$9=""))*(DATASET!$D13&lt;&gt;"")*(DATASET!$G13&lt;&gt;""))*(SUMPRODUCT((DATASET!$D$2:$D12=DATASET!$D13)*((DATASET!$C$2:$C12='3 · KPI Cards'!$B$9)+('3 · KPI Cards'!$B$9=""))*(DATASET!$D$2:$D12&lt;&gt;"")*(DATASET!$G$2:$G12&lt;&gt;""))=0))&gt;0,DATASET!$D13,"")</f>
        <v/>
      </c>
      <c r="AC13" t="str">
        <f t="shared" si="29"/>
        <v/>
      </c>
      <c r="AD13" t="str">
        <f>IF(((((DATASET!$C13='3 · KPI Cards'!$B$9)+('3 · KPI Cards'!$B$9=""))*((DATASET!$D13='3 · KPI Cards'!$D$9)+('3 · KPI Cards'!$D$9=""))*(DATASET!$E13&lt;&gt;"")*(DATASET!$G13&lt;&gt;""))*(SUMPRODUCT((DATASET!$E$2:$E12=DATASET!$E13)*((DATASET!$C$2:$C12='3 · KPI Cards'!$B$9)+('3 · KPI Cards'!$B$9=""))*((DATASET!$D$2:$D12='3 · KPI Cards'!$D$9)+('3 · KPI Cards'!$D$9=""))*(DATASET!$E$2:$E12&lt;&gt;"")*(DATASET!$G$2:$G12&lt;&gt;""))=0))&gt;0,DATASET!$E13,"")</f>
        <v/>
      </c>
      <c r="AE13" t="str">
        <f t="shared" si="30"/>
        <v/>
      </c>
      <c r="AF13" t="str">
        <f>IF(((((DATASET!$C13='3 · KPI Cards'!$B$9)+('3 · KPI Cards'!$B$9=""))*((DATASET!$D13='3 · KPI Cards'!$D$9)+('3 · KPI Cards'!$D$9=""))*((DATASET!$E13='3 · KPI Cards'!$F$9)+('3 · KPI Cards'!$F$9=""))*(DATASET!$F13&lt;&gt;"")*(DATASET!$G13&lt;&gt;""))*(SUMPRODUCT((DATASET!$F$2:$F12=DATASET!$F13)*((DATASET!$C$2:$C12='3 · KPI Cards'!$B$9)+('3 · KPI Cards'!$B$9=""))*((DATASET!$D$2:$D12='3 · KPI Cards'!$D$9)+('3 · KPI Cards'!$D$9=""))*((DATASET!$E$2:$E12='3 · KPI Cards'!$F$9)+('3 · KPI Cards'!$F$9=""))*(DATASET!$F$2:$F12&lt;&gt;"")*(DATASET!$G$2:$G12&lt;&gt;""))=0))&gt;0,DATASET!$F13,"")</f>
        <v/>
      </c>
      <c r="AG13" t="str">
        <f t="shared" si="31"/>
        <v/>
      </c>
      <c r="AJ13">
        <f>IF((((DATASET!$C13='4 · Board Report'!$D$5)+('4 · Board Report'!$D$5=""))*((DATASET!$D13='4 · Board Report'!$D$6)+('4 · Board Report'!$D$6=""))*((DATASET!$E13='4 · Board Report'!$D$7)+('4 · Board Report'!$D$7=""))*((DATASET!$F13='4 · Board Report'!$D$8)+('4 · Board Report'!$D$8=""))*(DATASET!$G13&lt;&gt;""))&gt;0,1,0)</f>
        <v>0</v>
      </c>
      <c r="AK13" t="str">
        <f t="shared" si="32"/>
        <v/>
      </c>
      <c r="AL13" s="103" t="str">
        <f>IF(AJ13=1,DATASET!$I13,"")</f>
        <v/>
      </c>
      <c r="AM13" t="str">
        <f>IF(((((DATASET!$C13='4 · Board Report'!$D$5)+('4 · Board Report'!$D$5=""))*(DATASET!$D13&lt;&gt;"")*(DATASET!$G13&lt;&gt;""))*(SUMPRODUCT((DATASET!$D$2:$D12=DATASET!$D13)*((DATASET!$C$2:$C12='4 · Board Report'!$D$5)+('4 · Board Report'!$D$5=""))*(DATASET!$D$2:$D12&lt;&gt;"")*(DATASET!$G$2:$G12&lt;&gt;""))=0))&gt;0,DATASET!$D13,"")</f>
        <v/>
      </c>
      <c r="AN13" t="str">
        <f t="shared" si="33"/>
        <v/>
      </c>
      <c r="AO13" t="str">
        <f>IF(((((DATASET!$C13='4 · Board Report'!$D$5)+('4 · Board Report'!$D$5=""))*((DATASET!$D13='4 · Board Report'!$D$6)+('4 · Board Report'!$D$6=""))*(DATASET!$E13&lt;&gt;"")*(DATASET!$G13&lt;&gt;""))*(SUMPRODUCT((DATASET!$E$2:$E12=DATASET!$E13)*((DATASET!$C$2:$C12='4 · Board Report'!$D$5)+('4 · Board Report'!$D$5=""))*((DATASET!$D$2:$D12='4 · Board Report'!$D$6)+('4 · Board Report'!$D$6=""))*(DATASET!$E$2:$E12&lt;&gt;"")*(DATASET!$G$2:$G12&lt;&gt;""))=0))&gt;0,DATASET!$E13,"")</f>
        <v/>
      </c>
      <c r="AP13" t="str">
        <f t="shared" si="34"/>
        <v/>
      </c>
      <c r="AQ13" t="str">
        <f>IF(((((DATASET!$C13='4 · Board Report'!$D$5)+('4 · Board Report'!$D$5=""))*((DATASET!$D13='4 · Board Report'!$D$6)+('4 · Board Report'!$D$6=""))*((DATASET!$E13='4 · Board Report'!$D$7)+('4 · Board Report'!$D$7=""))*(DATASET!$F13&lt;&gt;"")*(DATASET!$G13&lt;&gt;""))*(SUMPRODUCT((DATASET!$F$2:$F12=DATASET!$F13)*((DATASET!$C$2:$C12='4 · Board Report'!$D$5)+('4 · Board Report'!$D$5=""))*((DATASET!$D$2:$D12='4 · Board Report'!$D$6)+('4 · Board Report'!$D$6=""))*((DATASET!$E$2:$E12='4 · Board Report'!$D$7)+('4 · Board Report'!$D$7=""))*(DATASET!$F$2:$F12&lt;&gt;"")*(DATASET!$G$2:$G12&lt;&gt;""))=0))&gt;0,DATASET!$F13,"")</f>
        <v/>
      </c>
      <c r="AR13" t="str">
        <f t="shared" si="35"/>
        <v/>
      </c>
      <c r="AU13">
        <f>IF((((DATASET!$C13='5 · Modern Console'!$B$4)+('5 · Modern Console'!$B$4=""))*((DATASET!$D13='5 · Modern Console'!$D$4)+('5 · Modern Console'!$D$4=""))*((DATASET!$E13='5 · Modern Console'!$F$4)+('5 · Modern Console'!$F$4=""))*((DATASET!$F13='5 · Modern Console'!$H$4)+('5 · Modern Console'!$H$4=""))*(DATASET!$G13&lt;&gt;""))&gt;0,1,0)</f>
        <v>1</v>
      </c>
      <c r="AV13">
        <f t="shared" si="36"/>
        <v>12</v>
      </c>
      <c r="AW13" s="103">
        <f>IF(AU13=1,DATASET!$I13,"")</f>
        <v>121</v>
      </c>
      <c r="AX13" t="str">
        <f>IF(((((DATASET!$C13='5 · Modern Console'!$B$4)+('5 · Modern Console'!$B$4=""))*(DATASET!$D13&lt;&gt;"")*(DATASET!$G13&lt;&gt;""))*(SUMPRODUCT((DATASET!$D$2:$D12=DATASET!$D13)*((DATASET!$C$2:$C12='5 · Modern Console'!$B$4)+('5 · Modern Console'!$B$4=""))*(DATASET!$D$2:$D12&lt;&gt;"")*(DATASET!$G$2:$G12&lt;&gt;""))=0))&gt;0,DATASET!$D13,"")</f>
        <v/>
      </c>
      <c r="AY13" t="str">
        <f t="shared" si="37"/>
        <v/>
      </c>
      <c r="AZ13" t="str">
        <f>IF(((((DATASET!$C13='5 · Modern Console'!$B$4)+('5 · Modern Console'!$B$4=""))*((DATASET!$D13='5 · Modern Console'!$D$4)+('5 · Modern Console'!$D$4=""))*(DATASET!$E13&lt;&gt;"")*(DATASET!$G13&lt;&gt;""))*(SUMPRODUCT((DATASET!$E$2:$E12=DATASET!$E13)*((DATASET!$C$2:$C12='5 · Modern Console'!$B$4)+('5 · Modern Console'!$B$4=""))*((DATASET!$D$2:$D12='5 · Modern Console'!$D$4)+('5 · Modern Console'!$D$4=""))*(DATASET!$E$2:$E12&lt;&gt;"")*(DATASET!$G$2:$G12&lt;&gt;""))=0))&gt;0,DATASET!$E13,"")</f>
        <v/>
      </c>
      <c r="BA13" t="str">
        <f t="shared" si="38"/>
        <v/>
      </c>
      <c r="BB13" t="str">
        <f>IF(((((DATASET!$C13='5 · Modern Console'!$B$4)+('5 · Modern Console'!$B$4=""))*((DATASET!$D13='5 · Modern Console'!$D$4)+('5 · Modern Console'!$D$4=""))*((DATASET!$E13='5 · Modern Console'!$F$4)+('5 · Modern Console'!$F$4=""))*(DATASET!$F13&lt;&gt;"")*(DATASET!$G13&lt;&gt;""))*(SUMPRODUCT((DATASET!$F$2:$F12=DATASET!$F13)*((DATASET!$C$2:$C12='5 · Modern Console'!$B$4)+('5 · Modern Console'!$B$4=""))*((DATASET!$D$2:$D12='5 · Modern Console'!$D$4)+('5 · Modern Console'!$D$4=""))*((DATASET!$E$2:$E12='5 · Modern Console'!$F$4)+('5 · Modern Console'!$F$4=""))*(DATASET!$F$2:$F12&lt;&gt;"")*(DATASET!$G$2:$G12&lt;&gt;""))=0))&gt;0,DATASET!$F13,"")</f>
        <v/>
      </c>
      <c r="BC13" t="str">
        <f t="shared" si="39"/>
        <v/>
      </c>
    </row>
    <row r="14" ht="15" customHeight="1">
      <c r="C14">
        <f>IF((((DATASET!$C14='1 · Executive View'!$B$6)+('1 · Executive View'!$B$6=""))*((DATASET!$D14='1 · Executive View'!$D$6)+('1 · Executive View'!$D$6=""))*((DATASET!$E14='1 · Executive View'!$F$6)+('1 · Executive View'!$F$6=""))*((DATASET!$F14='1 · Executive View'!$H$6)+('1 · Executive View'!$H$6=""))*(DATASET!$G14&lt;&gt;""))&gt;0,1,0)</f>
        <v>0</v>
      </c>
      <c r="D14" t="str">
        <f t="shared" si="20"/>
        <v/>
      </c>
      <c r="E14" s="103" t="str">
        <f>IF(C14=1,DATASET!$I14,"")</f>
        <v/>
      </c>
      <c r="F14" t="str">
        <f>IF(((((DATASET!$C14='1 · Executive View'!$B$6)+('1 · Executive View'!$B$6=""))*(DATASET!$D14&lt;&gt;"")*(DATASET!$G14&lt;&gt;""))*(SUMPRODUCT((DATASET!$D$2:$D13=DATASET!$D14)*((DATASET!$C$2:$C13='1 · Executive View'!$B$6)+('1 · Executive View'!$B$6=""))*(DATASET!$D$2:$D13&lt;&gt;"")*(DATASET!$G$2:$G13&lt;&gt;""))=0))&gt;0,DATASET!$D14,"")</f>
        <v/>
      </c>
      <c r="G14" t="str">
        <f t="shared" si="21"/>
        <v/>
      </c>
      <c r="H14" t="str">
        <f>IF(((((DATASET!$C14='1 · Executive View'!$B$6)+('1 · Executive View'!$B$6=""))*((DATASET!$D14='1 · Executive View'!$D$6)+('1 · Executive View'!$D$6=""))*(DATASET!$E14&lt;&gt;"")*(DATASET!$G14&lt;&gt;""))*(SUMPRODUCT((DATASET!$E$2:$E13=DATASET!$E14)*((DATASET!$C$2:$C13='1 · Executive View'!$B$6)+('1 · Executive View'!$B$6=""))*((DATASET!$D$2:$D13='1 · Executive View'!$D$6)+('1 · Executive View'!$D$6=""))*(DATASET!$E$2:$E13&lt;&gt;"")*(DATASET!$G$2:$G13&lt;&gt;""))=0))&gt;0,DATASET!$E14,"")</f>
        <v/>
      </c>
      <c r="I14" t="str">
        <f t="shared" si="22"/>
        <v/>
      </c>
      <c r="J14" t="str">
        <f>IF(((((DATASET!$C14='1 · Executive View'!$B$6)+('1 · Executive View'!$B$6=""))*((DATASET!$D14='1 · Executive View'!$D$6)+('1 · Executive View'!$D$6=""))*((DATASET!$E14='1 · Executive View'!$F$6)+('1 · Executive View'!$F$6=""))*(DATASET!$F14&lt;&gt;"")*(DATASET!$G14&lt;&gt;""))*(SUMPRODUCT((DATASET!$F$2:$F13=DATASET!$F14)*((DATASET!$C$2:$C13='1 · Executive View'!$B$6)+('1 · Executive View'!$B$6=""))*((DATASET!$D$2:$D13='1 · Executive View'!$D$6)+('1 · Executive View'!$D$6=""))*((DATASET!$E$2:$E13='1 · Executive View'!$F$6)+('1 · Executive View'!$F$6=""))*(DATASET!$F$2:$F13&lt;&gt;"")*(DATASET!$G$2:$G13&lt;&gt;""))=0))&gt;0,DATASET!$F14,"")</f>
        <v/>
      </c>
      <c r="K14" t="str">
        <f t="shared" si="23"/>
        <v/>
      </c>
      <c r="N14">
        <f>IF((((DATASET!$C14='2 · Sidebar Studio'!$B$7)+('2 · Sidebar Studio'!$B$7=""))*((DATASET!$D14='2 · Sidebar Studio'!$B$9)+('2 · Sidebar Studio'!$B$9=""))*((DATASET!$E14='2 · Sidebar Studio'!$B$11)+('2 · Sidebar Studio'!$B$11=""))*((DATASET!$F14='2 · Sidebar Studio'!$B$13)+('2 · Sidebar Studio'!$B$13=""))*(DATASET!$G14&lt;&gt;""))&gt;0,1,0)</f>
        <v>1</v>
      </c>
      <c r="O14">
        <f t="shared" si="24"/>
        <v>13</v>
      </c>
      <c r="P14" s="103">
        <f>IF(N14=1,DATASET!$I14,"")</f>
        <v>0.59999999999999998</v>
      </c>
      <c r="Q14" t="str">
        <f>IF(((((DATASET!$C14='2 · Sidebar Studio'!$B$7)+('2 · Sidebar Studio'!$B$7=""))*(DATASET!$D14&lt;&gt;"")*(DATASET!$G14&lt;&gt;""))*(SUMPRODUCT((DATASET!$D$2:$D13=DATASET!$D14)*((DATASET!$C$2:$C13='2 · Sidebar Studio'!$B$7)+('2 · Sidebar Studio'!$B$7=""))*(DATASET!$D$2:$D13&lt;&gt;"")*(DATASET!$G$2:$G13&lt;&gt;""))=0))&gt;0,DATASET!$D14,"")</f>
        <v/>
      </c>
      <c r="R14" t="str">
        <f t="shared" si="25"/>
        <v/>
      </c>
      <c r="S14" t="str">
        <f>IF(((((DATASET!$C14='2 · Sidebar Studio'!$B$7)+('2 · Sidebar Studio'!$B$7=""))*((DATASET!$D14='2 · Sidebar Studio'!$B$9)+('2 · Sidebar Studio'!$B$9=""))*(DATASET!$E14&lt;&gt;"")*(DATASET!$G14&lt;&gt;""))*(SUMPRODUCT((DATASET!$E$2:$E13=DATASET!$E14)*((DATASET!$C$2:$C13='2 · Sidebar Studio'!$B$7)+('2 · Sidebar Studio'!$B$7=""))*((DATASET!$D$2:$D13='2 · Sidebar Studio'!$B$9)+('2 · Sidebar Studio'!$B$9=""))*(DATASET!$E$2:$E13&lt;&gt;"")*(DATASET!$G$2:$G13&lt;&gt;""))=0))&gt;0,DATASET!$E14,"")</f>
        <v/>
      </c>
      <c r="T14" t="str">
        <f t="shared" si="26"/>
        <v/>
      </c>
      <c r="U14" t="str">
        <f>IF(((((DATASET!$C14='2 · Sidebar Studio'!$B$7)+('2 · Sidebar Studio'!$B$7=""))*((DATASET!$D14='2 · Sidebar Studio'!$B$9)+('2 · Sidebar Studio'!$B$9=""))*((DATASET!$E14='2 · Sidebar Studio'!$B$11)+('2 · Sidebar Studio'!$B$11=""))*(DATASET!$F14&lt;&gt;"")*(DATASET!$G14&lt;&gt;""))*(SUMPRODUCT((DATASET!$F$2:$F13=DATASET!$F14)*((DATASET!$C$2:$C13='2 · Sidebar Studio'!$B$7)+('2 · Sidebar Studio'!$B$7=""))*((DATASET!$D$2:$D13='2 · Sidebar Studio'!$B$9)+('2 · Sidebar Studio'!$B$9=""))*((DATASET!$E$2:$E13='2 · Sidebar Studio'!$B$11)+('2 · Sidebar Studio'!$B$11=""))*(DATASET!$F$2:$F13&lt;&gt;"")*(DATASET!$G$2:$G13&lt;&gt;""))=0))&gt;0,DATASET!$F14,"")</f>
        <v/>
      </c>
      <c r="V14" t="str">
        <f t="shared" si="27"/>
        <v/>
      </c>
      <c r="Y14">
        <f>IF((((DATASET!$C14='3 · KPI Cards'!$B$9)+('3 · KPI Cards'!$B$9=""))*((DATASET!$D14='3 · KPI Cards'!$D$9)+('3 · KPI Cards'!$D$9=""))*((DATASET!$E14='3 · KPI Cards'!$F$9)+('3 · KPI Cards'!$F$9=""))*((DATASET!$F14='3 · KPI Cards'!$H$9)+('3 · KPI Cards'!$H$9=""))*(DATASET!$G14&lt;&gt;""))&gt;0,1,0)</f>
        <v>1</v>
      </c>
      <c r="Z14">
        <f t="shared" si="28"/>
        <v>13</v>
      </c>
      <c r="AA14" s="103">
        <f>IF(Y14=1,DATASET!$I14,"")</f>
        <v>0.59999999999999998</v>
      </c>
      <c r="AB14" t="str">
        <f>IF(((((DATASET!$C14='3 · KPI Cards'!$B$9)+('3 · KPI Cards'!$B$9=""))*(DATASET!$D14&lt;&gt;"")*(DATASET!$G14&lt;&gt;""))*(SUMPRODUCT((DATASET!$D$2:$D13=DATASET!$D14)*((DATASET!$C$2:$C13='3 · KPI Cards'!$B$9)+('3 · KPI Cards'!$B$9=""))*(DATASET!$D$2:$D13&lt;&gt;"")*(DATASET!$G$2:$G13&lt;&gt;""))=0))&gt;0,DATASET!$D14,"")</f>
        <v/>
      </c>
      <c r="AC14" t="str">
        <f t="shared" si="29"/>
        <v/>
      </c>
      <c r="AD14" t="str">
        <f>IF(((((DATASET!$C14='3 · KPI Cards'!$B$9)+('3 · KPI Cards'!$B$9=""))*((DATASET!$D14='3 · KPI Cards'!$D$9)+('3 · KPI Cards'!$D$9=""))*(DATASET!$E14&lt;&gt;"")*(DATASET!$G14&lt;&gt;""))*(SUMPRODUCT((DATASET!$E$2:$E13=DATASET!$E14)*((DATASET!$C$2:$C13='3 · KPI Cards'!$B$9)+('3 · KPI Cards'!$B$9=""))*((DATASET!$D$2:$D13='3 · KPI Cards'!$D$9)+('3 · KPI Cards'!$D$9=""))*(DATASET!$E$2:$E13&lt;&gt;"")*(DATASET!$G$2:$G13&lt;&gt;""))=0))&gt;0,DATASET!$E14,"")</f>
        <v/>
      </c>
      <c r="AE14" t="str">
        <f t="shared" si="30"/>
        <v/>
      </c>
      <c r="AF14" t="str">
        <f>IF(((((DATASET!$C14='3 · KPI Cards'!$B$9)+('3 · KPI Cards'!$B$9=""))*((DATASET!$D14='3 · KPI Cards'!$D$9)+('3 · KPI Cards'!$D$9=""))*((DATASET!$E14='3 · KPI Cards'!$F$9)+('3 · KPI Cards'!$F$9=""))*(DATASET!$F14&lt;&gt;"")*(DATASET!$G14&lt;&gt;""))*(SUMPRODUCT((DATASET!$F$2:$F13=DATASET!$F14)*((DATASET!$C$2:$C13='3 · KPI Cards'!$B$9)+('3 · KPI Cards'!$B$9=""))*((DATASET!$D$2:$D13='3 · KPI Cards'!$D$9)+('3 · KPI Cards'!$D$9=""))*((DATASET!$E$2:$E13='3 · KPI Cards'!$F$9)+('3 · KPI Cards'!$F$9=""))*(DATASET!$F$2:$F13&lt;&gt;"")*(DATASET!$G$2:$G13&lt;&gt;""))=0))&gt;0,DATASET!$F14,"")</f>
        <v/>
      </c>
      <c r="AG14" t="str">
        <f t="shared" si="31"/>
        <v/>
      </c>
      <c r="AJ14">
        <f>IF((((DATASET!$C14='4 · Board Report'!$D$5)+('4 · Board Report'!$D$5=""))*((DATASET!$D14='4 · Board Report'!$D$6)+('4 · Board Report'!$D$6=""))*((DATASET!$E14='4 · Board Report'!$D$7)+('4 · Board Report'!$D$7=""))*((DATASET!$F14='4 · Board Report'!$D$8)+('4 · Board Report'!$D$8=""))*(DATASET!$G14&lt;&gt;""))&gt;0,1,0)</f>
        <v>0</v>
      </c>
      <c r="AK14" t="str">
        <f t="shared" si="32"/>
        <v/>
      </c>
      <c r="AL14" s="103" t="str">
        <f>IF(AJ14=1,DATASET!$I14,"")</f>
        <v/>
      </c>
      <c r="AM14" t="str">
        <f>IF(((((DATASET!$C14='4 · Board Report'!$D$5)+('4 · Board Report'!$D$5=""))*(DATASET!$D14&lt;&gt;"")*(DATASET!$G14&lt;&gt;""))*(SUMPRODUCT((DATASET!$D$2:$D13=DATASET!$D14)*((DATASET!$C$2:$C13='4 · Board Report'!$D$5)+('4 · Board Report'!$D$5=""))*(DATASET!$D$2:$D13&lt;&gt;"")*(DATASET!$G$2:$G13&lt;&gt;""))=0))&gt;0,DATASET!$D14,"")</f>
        <v/>
      </c>
      <c r="AN14" t="str">
        <f t="shared" si="33"/>
        <v/>
      </c>
      <c r="AO14" t="str">
        <f>IF(((((DATASET!$C14='4 · Board Report'!$D$5)+('4 · Board Report'!$D$5=""))*((DATASET!$D14='4 · Board Report'!$D$6)+('4 · Board Report'!$D$6=""))*(DATASET!$E14&lt;&gt;"")*(DATASET!$G14&lt;&gt;""))*(SUMPRODUCT((DATASET!$E$2:$E13=DATASET!$E14)*((DATASET!$C$2:$C13='4 · Board Report'!$D$5)+('4 · Board Report'!$D$5=""))*((DATASET!$D$2:$D13='4 · Board Report'!$D$6)+('4 · Board Report'!$D$6=""))*(DATASET!$E$2:$E13&lt;&gt;"")*(DATASET!$G$2:$G13&lt;&gt;""))=0))&gt;0,DATASET!$E14,"")</f>
        <v/>
      </c>
      <c r="AP14" t="str">
        <f t="shared" si="34"/>
        <v/>
      </c>
      <c r="AQ14" t="str">
        <f>IF(((((DATASET!$C14='4 · Board Report'!$D$5)+('4 · Board Report'!$D$5=""))*((DATASET!$D14='4 · Board Report'!$D$6)+('4 · Board Report'!$D$6=""))*((DATASET!$E14='4 · Board Report'!$D$7)+('4 · Board Report'!$D$7=""))*(DATASET!$F14&lt;&gt;"")*(DATASET!$G14&lt;&gt;""))*(SUMPRODUCT((DATASET!$F$2:$F13=DATASET!$F14)*((DATASET!$C$2:$C13='4 · Board Report'!$D$5)+('4 · Board Report'!$D$5=""))*((DATASET!$D$2:$D13='4 · Board Report'!$D$6)+('4 · Board Report'!$D$6=""))*((DATASET!$E$2:$E13='4 · Board Report'!$D$7)+('4 · Board Report'!$D$7=""))*(DATASET!$F$2:$F13&lt;&gt;"")*(DATASET!$G$2:$G13&lt;&gt;""))=0))&gt;0,DATASET!$F14,"")</f>
        <v/>
      </c>
      <c r="AR14" t="str">
        <f t="shared" si="35"/>
        <v/>
      </c>
      <c r="AU14">
        <f>IF((((DATASET!$C14='5 · Modern Console'!$B$4)+('5 · Modern Console'!$B$4=""))*((DATASET!$D14='5 · Modern Console'!$D$4)+('5 · Modern Console'!$D$4=""))*((DATASET!$E14='5 · Modern Console'!$F$4)+('5 · Modern Console'!$F$4=""))*((DATASET!$F14='5 · Modern Console'!$H$4)+('5 · Modern Console'!$H$4=""))*(DATASET!$G14&lt;&gt;""))&gt;0,1,0)</f>
        <v>1</v>
      </c>
      <c r="AV14">
        <f t="shared" si="36"/>
        <v>13</v>
      </c>
      <c r="AW14" s="103">
        <f>IF(AU14=1,DATASET!$I14,"")</f>
        <v>0.59999999999999998</v>
      </c>
      <c r="AX14" t="str">
        <f>IF(((((DATASET!$C14='5 · Modern Console'!$B$4)+('5 · Modern Console'!$B$4=""))*(DATASET!$D14&lt;&gt;"")*(DATASET!$G14&lt;&gt;""))*(SUMPRODUCT((DATASET!$D$2:$D13=DATASET!$D14)*((DATASET!$C$2:$C13='5 · Modern Console'!$B$4)+('5 · Modern Console'!$B$4=""))*(DATASET!$D$2:$D13&lt;&gt;"")*(DATASET!$G$2:$G13&lt;&gt;""))=0))&gt;0,DATASET!$D14,"")</f>
        <v/>
      </c>
      <c r="AY14" t="str">
        <f t="shared" si="37"/>
        <v/>
      </c>
      <c r="AZ14" t="str">
        <f>IF(((((DATASET!$C14='5 · Modern Console'!$B$4)+('5 · Modern Console'!$B$4=""))*((DATASET!$D14='5 · Modern Console'!$D$4)+('5 · Modern Console'!$D$4=""))*(DATASET!$E14&lt;&gt;"")*(DATASET!$G14&lt;&gt;""))*(SUMPRODUCT((DATASET!$E$2:$E13=DATASET!$E14)*((DATASET!$C$2:$C13='5 · Modern Console'!$B$4)+('5 · Modern Console'!$B$4=""))*((DATASET!$D$2:$D13='5 · Modern Console'!$D$4)+('5 · Modern Console'!$D$4=""))*(DATASET!$E$2:$E13&lt;&gt;"")*(DATASET!$G$2:$G13&lt;&gt;""))=0))&gt;0,DATASET!$E14,"")</f>
        <v/>
      </c>
      <c r="BA14" t="str">
        <f t="shared" si="38"/>
        <v/>
      </c>
      <c r="BB14" t="str">
        <f>IF(((((DATASET!$C14='5 · Modern Console'!$B$4)+('5 · Modern Console'!$B$4=""))*((DATASET!$D14='5 · Modern Console'!$D$4)+('5 · Modern Console'!$D$4=""))*((DATASET!$E14='5 · Modern Console'!$F$4)+('5 · Modern Console'!$F$4=""))*(DATASET!$F14&lt;&gt;"")*(DATASET!$G14&lt;&gt;""))*(SUMPRODUCT((DATASET!$F$2:$F13=DATASET!$F14)*((DATASET!$C$2:$C13='5 · Modern Console'!$B$4)+('5 · Modern Console'!$B$4=""))*((DATASET!$D$2:$D13='5 · Modern Console'!$D$4)+('5 · Modern Console'!$D$4=""))*((DATASET!$E$2:$E13='5 · Modern Console'!$F$4)+('5 · Modern Console'!$F$4=""))*(DATASET!$F$2:$F13&lt;&gt;"")*(DATASET!$G$2:$G13&lt;&gt;""))=0))&gt;0,DATASET!$F14,"")</f>
        <v/>
      </c>
      <c r="BC14" t="str">
        <f t="shared" si="39"/>
        <v/>
      </c>
    </row>
    <row r="15" ht="15" customHeight="1">
      <c r="C15">
        <f>IF((((DATASET!$C15='1 · Executive View'!$B$6)+('1 · Executive View'!$B$6=""))*((DATASET!$D15='1 · Executive View'!$D$6)+('1 · Executive View'!$D$6=""))*((DATASET!$E15='1 · Executive View'!$F$6)+('1 · Executive View'!$F$6=""))*((DATASET!$F15='1 · Executive View'!$H$6)+('1 · Executive View'!$H$6=""))*(DATASET!$G15&lt;&gt;""))&gt;0,1,0)</f>
        <v>0</v>
      </c>
      <c r="D15" t="str">
        <f t="shared" si="20"/>
        <v/>
      </c>
      <c r="E15" s="103" t="str">
        <f>IF(C15=1,DATASET!$I15,"")</f>
        <v/>
      </c>
      <c r="F15" t="str">
        <f>IF(((((DATASET!$C15='1 · Executive View'!$B$6)+('1 · Executive View'!$B$6=""))*(DATASET!$D15&lt;&gt;"")*(DATASET!$G15&lt;&gt;""))*(SUMPRODUCT((DATASET!$D$2:$D14=DATASET!$D15)*((DATASET!$C$2:$C14='1 · Executive View'!$B$6)+('1 · Executive View'!$B$6=""))*(DATASET!$D$2:$D14&lt;&gt;"")*(DATASET!$G$2:$G14&lt;&gt;""))=0))&gt;0,DATASET!$D15,"")</f>
        <v/>
      </c>
      <c r="G15" t="str">
        <f t="shared" si="21"/>
        <v/>
      </c>
      <c r="H15" t="str">
        <f>IF(((((DATASET!$C15='1 · Executive View'!$B$6)+('1 · Executive View'!$B$6=""))*((DATASET!$D15='1 · Executive View'!$D$6)+('1 · Executive View'!$D$6=""))*(DATASET!$E15&lt;&gt;"")*(DATASET!$G15&lt;&gt;""))*(SUMPRODUCT((DATASET!$E$2:$E14=DATASET!$E15)*((DATASET!$C$2:$C14='1 · Executive View'!$B$6)+('1 · Executive View'!$B$6=""))*((DATASET!$D$2:$D14='1 · Executive View'!$D$6)+('1 · Executive View'!$D$6=""))*(DATASET!$E$2:$E14&lt;&gt;"")*(DATASET!$G$2:$G14&lt;&gt;""))=0))&gt;0,DATASET!$E15,"")</f>
        <v/>
      </c>
      <c r="I15" t="str">
        <f t="shared" si="22"/>
        <v/>
      </c>
      <c r="J15" t="str">
        <f>IF(((((DATASET!$C15='1 · Executive View'!$B$6)+('1 · Executive View'!$B$6=""))*((DATASET!$D15='1 · Executive View'!$D$6)+('1 · Executive View'!$D$6=""))*((DATASET!$E15='1 · Executive View'!$F$6)+('1 · Executive View'!$F$6=""))*(DATASET!$F15&lt;&gt;"")*(DATASET!$G15&lt;&gt;""))*(SUMPRODUCT((DATASET!$F$2:$F14=DATASET!$F15)*((DATASET!$C$2:$C14='1 · Executive View'!$B$6)+('1 · Executive View'!$B$6=""))*((DATASET!$D$2:$D14='1 · Executive View'!$D$6)+('1 · Executive View'!$D$6=""))*((DATASET!$E$2:$E14='1 · Executive View'!$F$6)+('1 · Executive View'!$F$6=""))*(DATASET!$F$2:$F14&lt;&gt;"")*(DATASET!$G$2:$G14&lt;&gt;""))=0))&gt;0,DATASET!$F15,"")</f>
        <v/>
      </c>
      <c r="K15" t="str">
        <f t="shared" si="23"/>
        <v/>
      </c>
      <c r="N15">
        <f>IF((((DATASET!$C15='2 · Sidebar Studio'!$B$7)+('2 · Sidebar Studio'!$B$7=""))*((DATASET!$D15='2 · Sidebar Studio'!$B$9)+('2 · Sidebar Studio'!$B$9=""))*((DATASET!$E15='2 · Sidebar Studio'!$B$11)+('2 · Sidebar Studio'!$B$11=""))*((DATASET!$F15='2 · Sidebar Studio'!$B$13)+('2 · Sidebar Studio'!$B$13=""))*(DATASET!$G15&lt;&gt;""))&gt;0,1,0)</f>
        <v>1</v>
      </c>
      <c r="O15">
        <f t="shared" si="24"/>
        <v>14</v>
      </c>
      <c r="P15" s="103">
        <f>IF(N15=1,DATASET!$I15,"")</f>
        <v>137497</v>
      </c>
      <c r="Q15" t="str">
        <f>IF(((((DATASET!$C15='2 · Sidebar Studio'!$B$7)+('2 · Sidebar Studio'!$B$7=""))*(DATASET!$D15&lt;&gt;"")*(DATASET!$G15&lt;&gt;""))*(SUMPRODUCT((DATASET!$D$2:$D14=DATASET!$D15)*((DATASET!$C$2:$C14='2 · Sidebar Studio'!$B$7)+('2 · Sidebar Studio'!$B$7=""))*(DATASET!$D$2:$D14&lt;&gt;"")*(DATASET!$G$2:$G14&lt;&gt;""))=0))&gt;0,DATASET!$D15,"")</f>
        <v xml:space="preserve">16) Altri proventi finanziari</v>
      </c>
      <c r="R15">
        <f t="shared" si="25"/>
        <v>5</v>
      </c>
      <c r="S15" t="str">
        <f>IF(((((DATASET!$C15='2 · Sidebar Studio'!$B$7)+('2 · Sidebar Studio'!$B$7=""))*((DATASET!$D15='2 · Sidebar Studio'!$B$9)+('2 · Sidebar Studio'!$B$9=""))*(DATASET!$E15&lt;&gt;"")*(DATASET!$G15&lt;&gt;""))*(SUMPRODUCT((DATASET!$E$2:$E14=DATASET!$E15)*((DATASET!$C$2:$C14='2 · Sidebar Studio'!$B$7)+('2 · Sidebar Studio'!$B$7=""))*((DATASET!$D$2:$D14='2 · Sidebar Studio'!$B$9)+('2 · Sidebar Studio'!$B$9=""))*(DATASET!$E$2:$E14&lt;&gt;"")*(DATASET!$G$2:$G14&lt;&gt;""))=0))&gt;0,DATASET!$E15,"")</f>
        <v xml:space="preserve">d) Proventi diversi dai precedenti</v>
      </c>
      <c r="T15">
        <f t="shared" si="26"/>
        <v>1</v>
      </c>
      <c r="U15" t="str">
        <f>IF(((((DATASET!$C15='2 · Sidebar Studio'!$B$7)+('2 · Sidebar Studio'!$B$7=""))*((DATASET!$D15='2 · Sidebar Studio'!$B$9)+('2 · Sidebar Studio'!$B$9=""))*((DATASET!$E15='2 · Sidebar Studio'!$B$11)+('2 · Sidebar Studio'!$B$11=""))*(DATASET!$F15&lt;&gt;"")*(DATASET!$G15&lt;&gt;""))*(SUMPRODUCT((DATASET!$F$2:$F14=DATASET!$F15)*((DATASET!$C$2:$C14='2 · Sidebar Studio'!$B$7)+('2 · Sidebar Studio'!$B$7=""))*((DATASET!$D$2:$D14='2 · Sidebar Studio'!$B$9)+('2 · Sidebar Studio'!$B$9=""))*((DATASET!$E$2:$E14='2 · Sidebar Studio'!$B$11)+('2 · Sidebar Studio'!$B$11=""))*(DATASET!$F$2:$F14&lt;&gt;"")*(DATASET!$G$2:$G14&lt;&gt;""))=0))&gt;0,DATASET!$F15,"")</f>
        <v/>
      </c>
      <c r="V15" t="str">
        <f t="shared" si="27"/>
        <v/>
      </c>
      <c r="Y15">
        <f>IF((((DATASET!$C15='3 · KPI Cards'!$B$9)+('3 · KPI Cards'!$B$9=""))*((DATASET!$D15='3 · KPI Cards'!$D$9)+('3 · KPI Cards'!$D$9=""))*((DATASET!$E15='3 · KPI Cards'!$F$9)+('3 · KPI Cards'!$F$9=""))*((DATASET!$F15='3 · KPI Cards'!$H$9)+('3 · KPI Cards'!$H$9=""))*(DATASET!$G15&lt;&gt;""))&gt;0,1,0)</f>
        <v>1</v>
      </c>
      <c r="Z15">
        <f t="shared" si="28"/>
        <v>14</v>
      </c>
      <c r="AA15" s="103">
        <f>IF(Y15=1,DATASET!$I15,"")</f>
        <v>137497</v>
      </c>
      <c r="AB15" t="str">
        <f>IF(((((DATASET!$C15='3 · KPI Cards'!$B$9)+('3 · KPI Cards'!$B$9=""))*(DATASET!$D15&lt;&gt;"")*(DATASET!$G15&lt;&gt;""))*(SUMPRODUCT((DATASET!$D$2:$D14=DATASET!$D15)*((DATASET!$C$2:$C14='3 · KPI Cards'!$B$9)+('3 · KPI Cards'!$B$9=""))*(DATASET!$D$2:$D14&lt;&gt;"")*(DATASET!$G$2:$G14&lt;&gt;""))=0))&gt;0,DATASET!$D15,"")</f>
        <v xml:space="preserve">16) Altri proventi finanziari</v>
      </c>
      <c r="AC15">
        <f t="shared" si="29"/>
        <v>5</v>
      </c>
      <c r="AD15" t="str">
        <f>IF(((((DATASET!$C15='3 · KPI Cards'!$B$9)+('3 · KPI Cards'!$B$9=""))*((DATASET!$D15='3 · KPI Cards'!$D$9)+('3 · KPI Cards'!$D$9=""))*(DATASET!$E15&lt;&gt;"")*(DATASET!$G15&lt;&gt;""))*(SUMPRODUCT((DATASET!$E$2:$E14=DATASET!$E15)*((DATASET!$C$2:$C14='3 · KPI Cards'!$B$9)+('3 · KPI Cards'!$B$9=""))*((DATASET!$D$2:$D14='3 · KPI Cards'!$D$9)+('3 · KPI Cards'!$D$9=""))*(DATASET!$E$2:$E14&lt;&gt;"")*(DATASET!$G$2:$G14&lt;&gt;""))=0))&gt;0,DATASET!$E15,"")</f>
        <v xml:space="preserve">d) Proventi diversi dai precedenti</v>
      </c>
      <c r="AE15">
        <f t="shared" si="30"/>
        <v>1</v>
      </c>
      <c r="AF15" t="str">
        <f>IF(((((DATASET!$C15='3 · KPI Cards'!$B$9)+('3 · KPI Cards'!$B$9=""))*((DATASET!$D15='3 · KPI Cards'!$D$9)+('3 · KPI Cards'!$D$9=""))*((DATASET!$E15='3 · KPI Cards'!$F$9)+('3 · KPI Cards'!$F$9=""))*(DATASET!$F15&lt;&gt;"")*(DATASET!$G15&lt;&gt;""))*(SUMPRODUCT((DATASET!$F$2:$F14=DATASET!$F15)*((DATASET!$C$2:$C14='3 · KPI Cards'!$B$9)+('3 · KPI Cards'!$B$9=""))*((DATASET!$D$2:$D14='3 · KPI Cards'!$D$9)+('3 · KPI Cards'!$D$9=""))*((DATASET!$E$2:$E14='3 · KPI Cards'!$F$9)+('3 · KPI Cards'!$F$9=""))*(DATASET!$F$2:$F14&lt;&gt;"")*(DATASET!$G$2:$G14&lt;&gt;""))=0))&gt;0,DATASET!$F15,"")</f>
        <v/>
      </c>
      <c r="AG15" t="str">
        <f t="shared" si="31"/>
        <v/>
      </c>
      <c r="AJ15">
        <f>IF((((DATASET!$C15='4 · Board Report'!$D$5)+('4 · Board Report'!$D$5=""))*((DATASET!$D15='4 · Board Report'!$D$6)+('4 · Board Report'!$D$6=""))*((DATASET!$E15='4 · Board Report'!$D$7)+('4 · Board Report'!$D$7=""))*((DATASET!$F15='4 · Board Report'!$D$8)+('4 · Board Report'!$D$8=""))*(DATASET!$G15&lt;&gt;""))&gt;0,1,0)</f>
        <v>0</v>
      </c>
      <c r="AK15" t="str">
        <f t="shared" si="32"/>
        <v/>
      </c>
      <c r="AL15" s="103" t="str">
        <f>IF(AJ15=1,DATASET!$I15,"")</f>
        <v/>
      </c>
      <c r="AM15" t="str">
        <f>IF(((((DATASET!$C15='4 · Board Report'!$D$5)+('4 · Board Report'!$D$5=""))*(DATASET!$D15&lt;&gt;"")*(DATASET!$G15&lt;&gt;""))*(SUMPRODUCT((DATASET!$D$2:$D14=DATASET!$D15)*((DATASET!$C$2:$C14='4 · Board Report'!$D$5)+('4 · Board Report'!$D$5=""))*(DATASET!$D$2:$D14&lt;&gt;"")*(DATASET!$G$2:$G14&lt;&gt;""))=0))&gt;0,DATASET!$D15,"")</f>
        <v/>
      </c>
      <c r="AN15" t="str">
        <f t="shared" si="33"/>
        <v/>
      </c>
      <c r="AO15" t="str">
        <f>IF(((((DATASET!$C15='4 · Board Report'!$D$5)+('4 · Board Report'!$D$5=""))*((DATASET!$D15='4 · Board Report'!$D$6)+('4 · Board Report'!$D$6=""))*(DATASET!$E15&lt;&gt;"")*(DATASET!$G15&lt;&gt;""))*(SUMPRODUCT((DATASET!$E$2:$E14=DATASET!$E15)*((DATASET!$C$2:$C14='4 · Board Report'!$D$5)+('4 · Board Report'!$D$5=""))*((DATASET!$D$2:$D14='4 · Board Report'!$D$6)+('4 · Board Report'!$D$6=""))*(DATASET!$E$2:$E14&lt;&gt;"")*(DATASET!$G$2:$G14&lt;&gt;""))=0))&gt;0,DATASET!$E15,"")</f>
        <v/>
      </c>
      <c r="AP15" t="str">
        <f t="shared" si="34"/>
        <v/>
      </c>
      <c r="AQ15" t="str">
        <f>IF(((((DATASET!$C15='4 · Board Report'!$D$5)+('4 · Board Report'!$D$5=""))*((DATASET!$D15='4 · Board Report'!$D$6)+('4 · Board Report'!$D$6=""))*((DATASET!$E15='4 · Board Report'!$D$7)+('4 · Board Report'!$D$7=""))*(DATASET!$F15&lt;&gt;"")*(DATASET!$G15&lt;&gt;""))*(SUMPRODUCT((DATASET!$F$2:$F14=DATASET!$F15)*((DATASET!$C$2:$C14='4 · Board Report'!$D$5)+('4 · Board Report'!$D$5=""))*((DATASET!$D$2:$D14='4 · Board Report'!$D$6)+('4 · Board Report'!$D$6=""))*((DATASET!$E$2:$E14='4 · Board Report'!$D$7)+('4 · Board Report'!$D$7=""))*(DATASET!$F$2:$F14&lt;&gt;"")*(DATASET!$G$2:$G14&lt;&gt;""))=0))&gt;0,DATASET!$F15,"")</f>
        <v/>
      </c>
      <c r="AR15" t="str">
        <f t="shared" si="35"/>
        <v/>
      </c>
      <c r="AU15">
        <f>IF((((DATASET!$C15='5 · Modern Console'!$B$4)+('5 · Modern Console'!$B$4=""))*((DATASET!$D15='5 · Modern Console'!$D$4)+('5 · Modern Console'!$D$4=""))*((DATASET!$E15='5 · Modern Console'!$F$4)+('5 · Modern Console'!$F$4=""))*((DATASET!$F15='5 · Modern Console'!$H$4)+('5 · Modern Console'!$H$4=""))*(DATASET!$G15&lt;&gt;""))&gt;0,1,0)</f>
        <v>1</v>
      </c>
      <c r="AV15">
        <f t="shared" si="36"/>
        <v>14</v>
      </c>
      <c r="AW15" s="103">
        <f>IF(AU15=1,DATASET!$I15,"")</f>
        <v>137497</v>
      </c>
      <c r="AX15" t="str">
        <f>IF(((((DATASET!$C15='5 · Modern Console'!$B$4)+('5 · Modern Console'!$B$4=""))*(DATASET!$D15&lt;&gt;"")*(DATASET!$G15&lt;&gt;""))*(SUMPRODUCT((DATASET!$D$2:$D14=DATASET!$D15)*((DATASET!$C$2:$C14='5 · Modern Console'!$B$4)+('5 · Modern Console'!$B$4=""))*(DATASET!$D$2:$D14&lt;&gt;"")*(DATASET!$G$2:$G14&lt;&gt;""))=0))&gt;0,DATASET!$D15,"")</f>
        <v xml:space="preserve">16) Altri proventi finanziari</v>
      </c>
      <c r="AY15">
        <f t="shared" si="37"/>
        <v>5</v>
      </c>
      <c r="AZ15" t="str">
        <f>IF(((((DATASET!$C15='5 · Modern Console'!$B$4)+('5 · Modern Console'!$B$4=""))*((DATASET!$D15='5 · Modern Console'!$D$4)+('5 · Modern Console'!$D$4=""))*(DATASET!$E15&lt;&gt;"")*(DATASET!$G15&lt;&gt;""))*(SUMPRODUCT((DATASET!$E$2:$E14=DATASET!$E15)*((DATASET!$C$2:$C14='5 · Modern Console'!$B$4)+('5 · Modern Console'!$B$4=""))*((DATASET!$D$2:$D14='5 · Modern Console'!$D$4)+('5 · Modern Console'!$D$4=""))*(DATASET!$E$2:$E14&lt;&gt;"")*(DATASET!$G$2:$G14&lt;&gt;""))=0))&gt;0,DATASET!$E15,"")</f>
        <v xml:space="preserve">d) Proventi diversi dai precedenti</v>
      </c>
      <c r="BA15">
        <f t="shared" si="38"/>
        <v>1</v>
      </c>
      <c r="BB15" t="str">
        <f>IF(((((DATASET!$C15='5 · Modern Console'!$B$4)+('5 · Modern Console'!$B$4=""))*((DATASET!$D15='5 · Modern Console'!$D$4)+('5 · Modern Console'!$D$4=""))*((DATASET!$E15='5 · Modern Console'!$F$4)+('5 · Modern Console'!$F$4=""))*(DATASET!$F15&lt;&gt;"")*(DATASET!$G15&lt;&gt;""))*(SUMPRODUCT((DATASET!$F$2:$F14=DATASET!$F15)*((DATASET!$C$2:$C14='5 · Modern Console'!$B$4)+('5 · Modern Console'!$B$4=""))*((DATASET!$D$2:$D14='5 · Modern Console'!$D$4)+('5 · Modern Console'!$D$4=""))*((DATASET!$E$2:$E14='5 · Modern Console'!$F$4)+('5 · Modern Console'!$F$4=""))*(DATASET!$F$2:$F14&lt;&gt;"")*(DATASET!$G$2:$G14&lt;&gt;""))=0))&gt;0,DATASET!$F15,"")</f>
        <v/>
      </c>
      <c r="BC15" t="str">
        <f t="shared" si="39"/>
        <v/>
      </c>
    </row>
    <row r="16" ht="15" customHeight="1">
      <c r="C16">
        <f>IF((((DATASET!$C16='1 · Executive View'!$B$6)+('1 · Executive View'!$B$6=""))*((DATASET!$D16='1 · Executive View'!$D$6)+('1 · Executive View'!$D$6=""))*((DATASET!$E16='1 · Executive View'!$F$6)+('1 · Executive View'!$F$6=""))*((DATASET!$F16='1 · Executive View'!$H$6)+('1 · Executive View'!$H$6=""))*(DATASET!$G16&lt;&gt;""))&gt;0,1,0)</f>
        <v>0</v>
      </c>
      <c r="D16" t="str">
        <f t="shared" si="20"/>
        <v/>
      </c>
      <c r="E16" s="103" t="str">
        <f>IF(C16=1,DATASET!$I16,"")</f>
        <v/>
      </c>
      <c r="F16" t="str">
        <f>IF(((((DATASET!$C16='1 · Executive View'!$B$6)+('1 · Executive View'!$B$6=""))*(DATASET!$D16&lt;&gt;"")*(DATASET!$G16&lt;&gt;""))*(SUMPRODUCT((DATASET!$D$2:$D15=DATASET!$D16)*((DATASET!$C$2:$C15='1 · Executive View'!$B$6)+('1 · Executive View'!$B$6=""))*(DATASET!$D$2:$D15&lt;&gt;"")*(DATASET!$G$2:$G15&lt;&gt;""))=0))&gt;0,DATASET!$D16,"")</f>
        <v/>
      </c>
      <c r="G16" t="str">
        <f t="shared" si="21"/>
        <v/>
      </c>
      <c r="H16" t="str">
        <f>IF(((((DATASET!$C16='1 · Executive View'!$B$6)+('1 · Executive View'!$B$6=""))*((DATASET!$D16='1 · Executive View'!$D$6)+('1 · Executive View'!$D$6=""))*(DATASET!$E16&lt;&gt;"")*(DATASET!$G16&lt;&gt;""))*(SUMPRODUCT((DATASET!$E$2:$E15=DATASET!$E16)*((DATASET!$C$2:$C15='1 · Executive View'!$B$6)+('1 · Executive View'!$B$6=""))*((DATASET!$D$2:$D15='1 · Executive View'!$D$6)+('1 · Executive View'!$D$6=""))*(DATASET!$E$2:$E15&lt;&gt;"")*(DATASET!$G$2:$G15&lt;&gt;""))=0))&gt;0,DATASET!$E16,"")</f>
        <v/>
      </c>
      <c r="I16" t="str">
        <f t="shared" si="22"/>
        <v/>
      </c>
      <c r="J16" t="str">
        <f>IF(((((DATASET!$C16='1 · Executive View'!$B$6)+('1 · Executive View'!$B$6=""))*((DATASET!$D16='1 · Executive View'!$D$6)+('1 · Executive View'!$D$6=""))*((DATASET!$E16='1 · Executive View'!$F$6)+('1 · Executive View'!$F$6=""))*(DATASET!$F16&lt;&gt;"")*(DATASET!$G16&lt;&gt;""))*(SUMPRODUCT((DATASET!$F$2:$F15=DATASET!$F16)*((DATASET!$C$2:$C15='1 · Executive View'!$B$6)+('1 · Executive View'!$B$6=""))*((DATASET!$D$2:$D15='1 · Executive View'!$D$6)+('1 · Executive View'!$D$6=""))*((DATASET!$E$2:$E15='1 · Executive View'!$F$6)+('1 · Executive View'!$F$6=""))*(DATASET!$F$2:$F15&lt;&gt;"")*(DATASET!$G$2:$G15&lt;&gt;""))=0))&gt;0,DATASET!$F16,"")</f>
        <v/>
      </c>
      <c r="K16" t="str">
        <f t="shared" si="23"/>
        <v/>
      </c>
      <c r="N16">
        <f>IF((((DATASET!$C16='2 · Sidebar Studio'!$B$7)+('2 · Sidebar Studio'!$B$7=""))*((DATASET!$D16='2 · Sidebar Studio'!$B$9)+('2 · Sidebar Studio'!$B$9=""))*((DATASET!$E16='2 · Sidebar Studio'!$B$11)+('2 · Sidebar Studio'!$B$11=""))*((DATASET!$F16='2 · Sidebar Studio'!$B$13)+('2 · Sidebar Studio'!$B$13=""))*(DATASET!$G16&lt;&gt;""))&gt;0,1,0)</f>
        <v>1</v>
      </c>
      <c r="O16">
        <f t="shared" si="24"/>
        <v>15</v>
      </c>
      <c r="P16" s="103">
        <f>IF(N16=1,DATASET!$I16,"")</f>
        <v>-549776</v>
      </c>
      <c r="Q16" t="str">
        <f>IF(((((DATASET!$C16='2 · Sidebar Studio'!$B$7)+('2 · Sidebar Studio'!$B$7=""))*(DATASET!$D16&lt;&gt;"")*(DATASET!$G16&lt;&gt;""))*(SUMPRODUCT((DATASET!$D$2:$D15=DATASET!$D16)*((DATASET!$C$2:$C15='2 · Sidebar Studio'!$B$7)+('2 · Sidebar Studio'!$B$7=""))*(DATASET!$D$2:$D15&lt;&gt;"")*(DATASET!$G$2:$G15&lt;&gt;""))=0))&gt;0,DATASET!$D16,"")</f>
        <v xml:space="preserve">17) Interessi e altri oneri finanziari</v>
      </c>
      <c r="R16">
        <f t="shared" si="25"/>
        <v>6</v>
      </c>
      <c r="S16" t="str">
        <f>IF(((((DATASET!$C16='2 · Sidebar Studio'!$B$7)+('2 · Sidebar Studio'!$B$7=""))*((DATASET!$D16='2 · Sidebar Studio'!$B$9)+('2 · Sidebar Studio'!$B$9=""))*(DATASET!$E16&lt;&gt;"")*(DATASET!$G16&lt;&gt;""))*(SUMPRODUCT((DATASET!$E$2:$E15=DATASET!$E16)*((DATASET!$C$2:$C15='2 · Sidebar Studio'!$B$7)+('2 · Sidebar Studio'!$B$7=""))*((DATASET!$D$2:$D15='2 · Sidebar Studio'!$B$9)+('2 · Sidebar Studio'!$B$9=""))*(DATASET!$E$2:$E15&lt;&gt;"")*(DATASET!$G$2:$G15&lt;&gt;""))=0))&gt;0,DATASET!$E16,"")</f>
        <v/>
      </c>
      <c r="T16" t="str">
        <f t="shared" si="26"/>
        <v/>
      </c>
      <c r="U16" t="str">
        <f>IF(((((DATASET!$C16='2 · Sidebar Studio'!$B$7)+('2 · Sidebar Studio'!$B$7=""))*((DATASET!$D16='2 · Sidebar Studio'!$B$9)+('2 · Sidebar Studio'!$B$9=""))*((DATASET!$E16='2 · Sidebar Studio'!$B$11)+('2 · Sidebar Studio'!$B$11=""))*(DATASET!$F16&lt;&gt;"")*(DATASET!$G16&lt;&gt;""))*(SUMPRODUCT((DATASET!$F$2:$F15=DATASET!$F16)*((DATASET!$C$2:$C15='2 · Sidebar Studio'!$B$7)+('2 · Sidebar Studio'!$B$7=""))*((DATASET!$D$2:$D15='2 · Sidebar Studio'!$B$9)+('2 · Sidebar Studio'!$B$9=""))*((DATASET!$E$2:$E15='2 · Sidebar Studio'!$B$11)+('2 · Sidebar Studio'!$B$11=""))*(DATASET!$F$2:$F15&lt;&gt;"")*(DATASET!$G$2:$G15&lt;&gt;""))=0))&gt;0,DATASET!$F16,"")</f>
        <v/>
      </c>
      <c r="V16" t="str">
        <f t="shared" si="27"/>
        <v/>
      </c>
      <c r="Y16">
        <f>IF((((DATASET!$C16='3 · KPI Cards'!$B$9)+('3 · KPI Cards'!$B$9=""))*((DATASET!$D16='3 · KPI Cards'!$D$9)+('3 · KPI Cards'!$D$9=""))*((DATASET!$E16='3 · KPI Cards'!$F$9)+('3 · KPI Cards'!$F$9=""))*((DATASET!$F16='3 · KPI Cards'!$H$9)+('3 · KPI Cards'!$H$9=""))*(DATASET!$G16&lt;&gt;""))&gt;0,1,0)</f>
        <v>1</v>
      </c>
      <c r="Z16">
        <f t="shared" si="28"/>
        <v>15</v>
      </c>
      <c r="AA16" s="103">
        <f>IF(Y16=1,DATASET!$I16,"")</f>
        <v>-549776</v>
      </c>
      <c r="AB16" t="str">
        <f>IF(((((DATASET!$C16='3 · KPI Cards'!$B$9)+('3 · KPI Cards'!$B$9=""))*(DATASET!$D16&lt;&gt;"")*(DATASET!$G16&lt;&gt;""))*(SUMPRODUCT((DATASET!$D$2:$D15=DATASET!$D16)*((DATASET!$C$2:$C15='3 · KPI Cards'!$B$9)+('3 · KPI Cards'!$B$9=""))*(DATASET!$D$2:$D15&lt;&gt;"")*(DATASET!$G$2:$G15&lt;&gt;""))=0))&gt;0,DATASET!$D16,"")</f>
        <v xml:space="preserve">17) Interessi e altri oneri finanziari</v>
      </c>
      <c r="AC16">
        <f t="shared" si="29"/>
        <v>6</v>
      </c>
      <c r="AD16" t="str">
        <f>IF(((((DATASET!$C16='3 · KPI Cards'!$B$9)+('3 · KPI Cards'!$B$9=""))*((DATASET!$D16='3 · KPI Cards'!$D$9)+('3 · KPI Cards'!$D$9=""))*(DATASET!$E16&lt;&gt;"")*(DATASET!$G16&lt;&gt;""))*(SUMPRODUCT((DATASET!$E$2:$E15=DATASET!$E16)*((DATASET!$C$2:$C15='3 · KPI Cards'!$B$9)+('3 · KPI Cards'!$B$9=""))*((DATASET!$D$2:$D15='3 · KPI Cards'!$D$9)+('3 · KPI Cards'!$D$9=""))*(DATASET!$E$2:$E15&lt;&gt;"")*(DATASET!$G$2:$G15&lt;&gt;""))=0))&gt;0,DATASET!$E16,"")</f>
        <v/>
      </c>
      <c r="AE16" t="str">
        <f t="shared" si="30"/>
        <v/>
      </c>
      <c r="AF16" t="str">
        <f>IF(((((DATASET!$C16='3 · KPI Cards'!$B$9)+('3 · KPI Cards'!$B$9=""))*((DATASET!$D16='3 · KPI Cards'!$D$9)+('3 · KPI Cards'!$D$9=""))*((DATASET!$E16='3 · KPI Cards'!$F$9)+('3 · KPI Cards'!$F$9=""))*(DATASET!$F16&lt;&gt;"")*(DATASET!$G16&lt;&gt;""))*(SUMPRODUCT((DATASET!$F$2:$F15=DATASET!$F16)*((DATASET!$C$2:$C15='3 · KPI Cards'!$B$9)+('3 · KPI Cards'!$B$9=""))*((DATASET!$D$2:$D15='3 · KPI Cards'!$D$9)+('3 · KPI Cards'!$D$9=""))*((DATASET!$E$2:$E15='3 · KPI Cards'!$F$9)+('3 · KPI Cards'!$F$9=""))*(DATASET!$F$2:$F15&lt;&gt;"")*(DATASET!$G$2:$G15&lt;&gt;""))=0))&gt;0,DATASET!$F16,"")</f>
        <v/>
      </c>
      <c r="AG16" t="str">
        <f t="shared" si="31"/>
        <v/>
      </c>
      <c r="AJ16">
        <f>IF((((DATASET!$C16='4 · Board Report'!$D$5)+('4 · Board Report'!$D$5=""))*((DATASET!$D16='4 · Board Report'!$D$6)+('4 · Board Report'!$D$6=""))*((DATASET!$E16='4 · Board Report'!$D$7)+('4 · Board Report'!$D$7=""))*((DATASET!$F16='4 · Board Report'!$D$8)+('4 · Board Report'!$D$8=""))*(DATASET!$G16&lt;&gt;""))&gt;0,1,0)</f>
        <v>0</v>
      </c>
      <c r="AK16" t="str">
        <f t="shared" si="32"/>
        <v/>
      </c>
      <c r="AL16" s="103" t="str">
        <f>IF(AJ16=1,DATASET!$I16,"")</f>
        <v/>
      </c>
      <c r="AM16" t="str">
        <f>IF(((((DATASET!$C16='4 · Board Report'!$D$5)+('4 · Board Report'!$D$5=""))*(DATASET!$D16&lt;&gt;"")*(DATASET!$G16&lt;&gt;""))*(SUMPRODUCT((DATASET!$D$2:$D15=DATASET!$D16)*((DATASET!$C$2:$C15='4 · Board Report'!$D$5)+('4 · Board Report'!$D$5=""))*(DATASET!$D$2:$D15&lt;&gt;"")*(DATASET!$G$2:$G15&lt;&gt;""))=0))&gt;0,DATASET!$D16,"")</f>
        <v/>
      </c>
      <c r="AN16" t="str">
        <f t="shared" si="33"/>
        <v/>
      </c>
      <c r="AO16" t="str">
        <f>IF(((((DATASET!$C16='4 · Board Report'!$D$5)+('4 · Board Report'!$D$5=""))*((DATASET!$D16='4 · Board Report'!$D$6)+('4 · Board Report'!$D$6=""))*(DATASET!$E16&lt;&gt;"")*(DATASET!$G16&lt;&gt;""))*(SUMPRODUCT((DATASET!$E$2:$E15=DATASET!$E16)*((DATASET!$C$2:$C15='4 · Board Report'!$D$5)+('4 · Board Report'!$D$5=""))*((DATASET!$D$2:$D15='4 · Board Report'!$D$6)+('4 · Board Report'!$D$6=""))*(DATASET!$E$2:$E15&lt;&gt;"")*(DATASET!$G$2:$G15&lt;&gt;""))=0))&gt;0,DATASET!$E16,"")</f>
        <v/>
      </c>
      <c r="AP16" t="str">
        <f t="shared" si="34"/>
        <v/>
      </c>
      <c r="AQ16" t="str">
        <f>IF(((((DATASET!$C16='4 · Board Report'!$D$5)+('4 · Board Report'!$D$5=""))*((DATASET!$D16='4 · Board Report'!$D$6)+('4 · Board Report'!$D$6=""))*((DATASET!$E16='4 · Board Report'!$D$7)+('4 · Board Report'!$D$7=""))*(DATASET!$F16&lt;&gt;"")*(DATASET!$G16&lt;&gt;""))*(SUMPRODUCT((DATASET!$F$2:$F15=DATASET!$F16)*((DATASET!$C$2:$C15='4 · Board Report'!$D$5)+('4 · Board Report'!$D$5=""))*((DATASET!$D$2:$D15='4 · Board Report'!$D$6)+('4 · Board Report'!$D$6=""))*((DATASET!$E$2:$E15='4 · Board Report'!$D$7)+('4 · Board Report'!$D$7=""))*(DATASET!$F$2:$F15&lt;&gt;"")*(DATASET!$G$2:$G15&lt;&gt;""))=0))&gt;0,DATASET!$F16,"")</f>
        <v/>
      </c>
      <c r="AR16" t="str">
        <f t="shared" si="35"/>
        <v/>
      </c>
      <c r="AU16">
        <f>IF((((DATASET!$C16='5 · Modern Console'!$B$4)+('5 · Modern Console'!$B$4=""))*((DATASET!$D16='5 · Modern Console'!$D$4)+('5 · Modern Console'!$D$4=""))*((DATASET!$E16='5 · Modern Console'!$F$4)+('5 · Modern Console'!$F$4=""))*((DATASET!$F16='5 · Modern Console'!$H$4)+('5 · Modern Console'!$H$4=""))*(DATASET!$G16&lt;&gt;""))&gt;0,1,0)</f>
        <v>1</v>
      </c>
      <c r="AV16">
        <f t="shared" si="36"/>
        <v>15</v>
      </c>
      <c r="AW16" s="103">
        <f>IF(AU16=1,DATASET!$I16,"")</f>
        <v>-549776</v>
      </c>
      <c r="AX16" t="str">
        <f>IF(((((DATASET!$C16='5 · Modern Console'!$B$4)+('5 · Modern Console'!$B$4=""))*(DATASET!$D16&lt;&gt;"")*(DATASET!$G16&lt;&gt;""))*(SUMPRODUCT((DATASET!$D$2:$D15=DATASET!$D16)*((DATASET!$C$2:$C15='5 · Modern Console'!$B$4)+('5 · Modern Console'!$B$4=""))*(DATASET!$D$2:$D15&lt;&gt;"")*(DATASET!$G$2:$G15&lt;&gt;""))=0))&gt;0,DATASET!$D16,"")</f>
        <v xml:space="preserve">17) Interessi e altri oneri finanziari</v>
      </c>
      <c r="AY16">
        <f t="shared" si="37"/>
        <v>6</v>
      </c>
      <c r="AZ16" t="str">
        <f>IF(((((DATASET!$C16='5 · Modern Console'!$B$4)+('5 · Modern Console'!$B$4=""))*((DATASET!$D16='5 · Modern Console'!$D$4)+('5 · Modern Console'!$D$4=""))*(DATASET!$E16&lt;&gt;"")*(DATASET!$G16&lt;&gt;""))*(SUMPRODUCT((DATASET!$E$2:$E15=DATASET!$E16)*((DATASET!$C$2:$C15='5 · Modern Console'!$B$4)+('5 · Modern Console'!$B$4=""))*((DATASET!$D$2:$D15='5 · Modern Console'!$D$4)+('5 · Modern Console'!$D$4=""))*(DATASET!$E$2:$E15&lt;&gt;"")*(DATASET!$G$2:$G15&lt;&gt;""))=0))&gt;0,DATASET!$E16,"")</f>
        <v/>
      </c>
      <c r="BA16" t="str">
        <f t="shared" si="38"/>
        <v/>
      </c>
      <c r="BB16" t="str">
        <f>IF(((((DATASET!$C16='5 · Modern Console'!$B$4)+('5 · Modern Console'!$B$4=""))*((DATASET!$D16='5 · Modern Console'!$D$4)+('5 · Modern Console'!$D$4=""))*((DATASET!$E16='5 · Modern Console'!$F$4)+('5 · Modern Console'!$F$4=""))*(DATASET!$F16&lt;&gt;"")*(DATASET!$G16&lt;&gt;""))*(SUMPRODUCT((DATASET!$F$2:$F15=DATASET!$F16)*((DATASET!$C$2:$C15='5 · Modern Console'!$B$4)+('5 · Modern Console'!$B$4=""))*((DATASET!$D$2:$D15='5 · Modern Console'!$D$4)+('5 · Modern Console'!$D$4=""))*((DATASET!$E$2:$E15='5 · Modern Console'!$F$4)+('5 · Modern Console'!$F$4=""))*(DATASET!$F$2:$F15&lt;&gt;"")*(DATASET!$G$2:$G15&lt;&gt;""))=0))&gt;0,DATASET!$F16,"")</f>
        <v/>
      </c>
      <c r="BC16" t="str">
        <f t="shared" si="39"/>
        <v/>
      </c>
    </row>
    <row r="17" ht="15" customHeight="1">
      <c r="C17">
        <f>IF((((DATASET!$C17='1 · Executive View'!$B$6)+('1 · Executive View'!$B$6=""))*((DATASET!$D17='1 · Executive View'!$D$6)+('1 · Executive View'!$D$6=""))*((DATASET!$E17='1 · Executive View'!$F$6)+('1 · Executive View'!$F$6=""))*((DATASET!$F17='1 · Executive View'!$H$6)+('1 · Executive View'!$H$6=""))*(DATASET!$G17&lt;&gt;""))&gt;0,1,0)</f>
        <v>0</v>
      </c>
      <c r="D17" t="str">
        <f t="shared" si="20"/>
        <v/>
      </c>
      <c r="E17" s="103" t="str">
        <f>IF(C17=1,DATASET!$I17,"")</f>
        <v/>
      </c>
      <c r="F17" t="str">
        <f>IF(((((DATASET!$C17='1 · Executive View'!$B$6)+('1 · Executive View'!$B$6=""))*(DATASET!$D17&lt;&gt;"")*(DATASET!$G17&lt;&gt;""))*(SUMPRODUCT((DATASET!$D$2:$D16=DATASET!$D17)*((DATASET!$C$2:$C16='1 · Executive View'!$B$6)+('1 · Executive View'!$B$6=""))*(DATASET!$D$2:$D16&lt;&gt;"")*(DATASET!$G$2:$G16&lt;&gt;""))=0))&gt;0,DATASET!$D17,"")</f>
        <v/>
      </c>
      <c r="G17" t="str">
        <f t="shared" si="21"/>
        <v/>
      </c>
      <c r="H17" t="str">
        <f>IF(((((DATASET!$C17='1 · Executive View'!$B$6)+('1 · Executive View'!$B$6=""))*((DATASET!$D17='1 · Executive View'!$D$6)+('1 · Executive View'!$D$6=""))*(DATASET!$E17&lt;&gt;"")*(DATASET!$G17&lt;&gt;""))*(SUMPRODUCT((DATASET!$E$2:$E16=DATASET!$E17)*((DATASET!$C$2:$C16='1 · Executive View'!$B$6)+('1 · Executive View'!$B$6=""))*((DATASET!$D$2:$D16='1 · Executive View'!$D$6)+('1 · Executive View'!$D$6=""))*(DATASET!$E$2:$E16&lt;&gt;"")*(DATASET!$G$2:$G16&lt;&gt;""))=0))&gt;0,DATASET!$E17,"")</f>
        <v/>
      </c>
      <c r="I17" t="str">
        <f t="shared" si="22"/>
        <v/>
      </c>
      <c r="J17" t="str">
        <f>IF(((((DATASET!$C17='1 · Executive View'!$B$6)+('1 · Executive View'!$B$6=""))*((DATASET!$D17='1 · Executive View'!$D$6)+('1 · Executive View'!$D$6=""))*((DATASET!$E17='1 · Executive View'!$F$6)+('1 · Executive View'!$F$6=""))*(DATASET!$F17&lt;&gt;"")*(DATASET!$G17&lt;&gt;""))*(SUMPRODUCT((DATASET!$F$2:$F16=DATASET!$F17)*((DATASET!$C$2:$C16='1 · Executive View'!$B$6)+('1 · Executive View'!$B$6=""))*((DATASET!$D$2:$D16='1 · Executive View'!$D$6)+('1 · Executive View'!$D$6=""))*((DATASET!$E$2:$E16='1 · Executive View'!$F$6)+('1 · Executive View'!$F$6=""))*(DATASET!$F$2:$F16&lt;&gt;"")*(DATASET!$G$2:$G16&lt;&gt;""))=0))&gt;0,DATASET!$F17,"")</f>
        <v/>
      </c>
      <c r="K17" t="str">
        <f t="shared" si="23"/>
        <v/>
      </c>
      <c r="N17">
        <f>IF((((DATASET!$C17='2 · Sidebar Studio'!$B$7)+('2 · Sidebar Studio'!$B$7=""))*((DATASET!$D17='2 · Sidebar Studio'!$B$9)+('2 · Sidebar Studio'!$B$9=""))*((DATASET!$E17='2 · Sidebar Studio'!$B$11)+('2 · Sidebar Studio'!$B$11=""))*((DATASET!$F17='2 · Sidebar Studio'!$B$13)+('2 · Sidebar Studio'!$B$13=""))*(DATASET!$G17&lt;&gt;""))&gt;0,1,0)</f>
        <v>1</v>
      </c>
      <c r="O17">
        <f t="shared" si="24"/>
        <v>16</v>
      </c>
      <c r="P17" s="103">
        <f>IF(N17=1,DATASET!$I17,"")</f>
        <v>-35.420000000000002</v>
      </c>
      <c r="Q17" t="str">
        <f>IF(((((DATASET!$C17='2 · Sidebar Studio'!$B$7)+('2 · Sidebar Studio'!$B$7=""))*(DATASET!$D17&lt;&gt;"")*(DATASET!$G17&lt;&gt;""))*(SUMPRODUCT((DATASET!$D$2:$D16=DATASET!$D17)*((DATASET!$C$2:$C16='2 · Sidebar Studio'!$B$7)+('2 · Sidebar Studio'!$B$7=""))*(DATASET!$D$2:$D16&lt;&gt;"")*(DATASET!$G$2:$G16&lt;&gt;""))=0))&gt;0,DATASET!$D17,"")</f>
        <v/>
      </c>
      <c r="R17" t="str">
        <f t="shared" si="25"/>
        <v/>
      </c>
      <c r="S17" t="str">
        <f>IF(((((DATASET!$C17='2 · Sidebar Studio'!$B$7)+('2 · Sidebar Studio'!$B$7=""))*((DATASET!$D17='2 · Sidebar Studio'!$B$9)+('2 · Sidebar Studio'!$B$9=""))*(DATASET!$E17&lt;&gt;"")*(DATASET!$G17&lt;&gt;""))*(SUMPRODUCT((DATASET!$E$2:$E16=DATASET!$E17)*((DATASET!$C$2:$C16='2 · Sidebar Studio'!$B$7)+('2 · Sidebar Studio'!$B$7=""))*((DATASET!$D$2:$D16='2 · Sidebar Studio'!$B$9)+('2 · Sidebar Studio'!$B$9=""))*(DATASET!$E$2:$E16&lt;&gt;"")*(DATASET!$G$2:$G16&lt;&gt;""))=0))&gt;0,DATASET!$E17,"")</f>
        <v/>
      </c>
      <c r="T17" t="str">
        <f t="shared" si="26"/>
        <v/>
      </c>
      <c r="U17" t="str">
        <f>IF(((((DATASET!$C17='2 · Sidebar Studio'!$B$7)+('2 · Sidebar Studio'!$B$7=""))*((DATASET!$D17='2 · Sidebar Studio'!$B$9)+('2 · Sidebar Studio'!$B$9=""))*((DATASET!$E17='2 · Sidebar Studio'!$B$11)+('2 · Sidebar Studio'!$B$11=""))*(DATASET!$F17&lt;&gt;"")*(DATASET!$G17&lt;&gt;""))*(SUMPRODUCT((DATASET!$F$2:$F16=DATASET!$F17)*((DATASET!$C$2:$C16='2 · Sidebar Studio'!$B$7)+('2 · Sidebar Studio'!$B$7=""))*((DATASET!$D$2:$D16='2 · Sidebar Studio'!$B$9)+('2 · Sidebar Studio'!$B$9=""))*((DATASET!$E$2:$E16='2 · Sidebar Studio'!$B$11)+('2 · Sidebar Studio'!$B$11=""))*(DATASET!$F$2:$F16&lt;&gt;"")*(DATASET!$G$2:$G16&lt;&gt;""))=0))&gt;0,DATASET!$F17,"")</f>
        <v/>
      </c>
      <c r="V17" t="str">
        <f t="shared" si="27"/>
        <v/>
      </c>
      <c r="Y17">
        <f>IF((((DATASET!$C17='3 · KPI Cards'!$B$9)+('3 · KPI Cards'!$B$9=""))*((DATASET!$D17='3 · KPI Cards'!$D$9)+('3 · KPI Cards'!$D$9=""))*((DATASET!$E17='3 · KPI Cards'!$F$9)+('3 · KPI Cards'!$F$9=""))*((DATASET!$F17='3 · KPI Cards'!$H$9)+('3 · KPI Cards'!$H$9=""))*(DATASET!$G17&lt;&gt;""))&gt;0,1,0)</f>
        <v>1</v>
      </c>
      <c r="Z17">
        <f t="shared" si="28"/>
        <v>16</v>
      </c>
      <c r="AA17" s="103">
        <f>IF(Y17=1,DATASET!$I17,"")</f>
        <v>-35.420000000000002</v>
      </c>
      <c r="AB17" t="str">
        <f>IF(((((DATASET!$C17='3 · KPI Cards'!$B$9)+('3 · KPI Cards'!$B$9=""))*(DATASET!$D17&lt;&gt;"")*(DATASET!$G17&lt;&gt;""))*(SUMPRODUCT((DATASET!$D$2:$D16=DATASET!$D17)*((DATASET!$C$2:$C16='3 · KPI Cards'!$B$9)+('3 · KPI Cards'!$B$9=""))*(DATASET!$D$2:$D16&lt;&gt;"")*(DATASET!$G$2:$G16&lt;&gt;""))=0))&gt;0,DATASET!$D17,"")</f>
        <v/>
      </c>
      <c r="AC17" t="str">
        <f t="shared" si="29"/>
        <v/>
      </c>
      <c r="AD17" t="str">
        <f>IF(((((DATASET!$C17='3 · KPI Cards'!$B$9)+('3 · KPI Cards'!$B$9=""))*((DATASET!$D17='3 · KPI Cards'!$D$9)+('3 · KPI Cards'!$D$9=""))*(DATASET!$E17&lt;&gt;"")*(DATASET!$G17&lt;&gt;""))*(SUMPRODUCT((DATASET!$E$2:$E16=DATASET!$E17)*((DATASET!$C$2:$C16='3 · KPI Cards'!$B$9)+('3 · KPI Cards'!$B$9=""))*((DATASET!$D$2:$D16='3 · KPI Cards'!$D$9)+('3 · KPI Cards'!$D$9=""))*(DATASET!$E$2:$E16&lt;&gt;"")*(DATASET!$G$2:$G16&lt;&gt;""))=0))&gt;0,DATASET!$E17,"")</f>
        <v/>
      </c>
      <c r="AE17" t="str">
        <f t="shared" si="30"/>
        <v/>
      </c>
      <c r="AF17" t="str">
        <f>IF(((((DATASET!$C17='3 · KPI Cards'!$B$9)+('3 · KPI Cards'!$B$9=""))*((DATASET!$D17='3 · KPI Cards'!$D$9)+('3 · KPI Cards'!$D$9=""))*((DATASET!$E17='3 · KPI Cards'!$F$9)+('3 · KPI Cards'!$F$9=""))*(DATASET!$F17&lt;&gt;"")*(DATASET!$G17&lt;&gt;""))*(SUMPRODUCT((DATASET!$F$2:$F16=DATASET!$F17)*((DATASET!$C$2:$C16='3 · KPI Cards'!$B$9)+('3 · KPI Cards'!$B$9=""))*((DATASET!$D$2:$D16='3 · KPI Cards'!$D$9)+('3 · KPI Cards'!$D$9=""))*((DATASET!$E$2:$E16='3 · KPI Cards'!$F$9)+('3 · KPI Cards'!$F$9=""))*(DATASET!$F$2:$F16&lt;&gt;"")*(DATASET!$G$2:$G16&lt;&gt;""))=0))&gt;0,DATASET!$F17,"")</f>
        <v/>
      </c>
      <c r="AG17" t="str">
        <f t="shared" si="31"/>
        <v/>
      </c>
      <c r="AJ17">
        <f>IF((((DATASET!$C17='4 · Board Report'!$D$5)+('4 · Board Report'!$D$5=""))*((DATASET!$D17='4 · Board Report'!$D$6)+('4 · Board Report'!$D$6=""))*((DATASET!$E17='4 · Board Report'!$D$7)+('4 · Board Report'!$D$7=""))*((DATASET!$F17='4 · Board Report'!$D$8)+('4 · Board Report'!$D$8=""))*(DATASET!$G17&lt;&gt;""))&gt;0,1,0)</f>
        <v>0</v>
      </c>
      <c r="AK17" t="str">
        <f t="shared" si="32"/>
        <v/>
      </c>
      <c r="AL17" s="103" t="str">
        <f>IF(AJ17=1,DATASET!$I17,"")</f>
        <v/>
      </c>
      <c r="AM17" t="str">
        <f>IF(((((DATASET!$C17='4 · Board Report'!$D$5)+('4 · Board Report'!$D$5=""))*(DATASET!$D17&lt;&gt;"")*(DATASET!$G17&lt;&gt;""))*(SUMPRODUCT((DATASET!$D$2:$D16=DATASET!$D17)*((DATASET!$C$2:$C16='4 · Board Report'!$D$5)+('4 · Board Report'!$D$5=""))*(DATASET!$D$2:$D16&lt;&gt;"")*(DATASET!$G$2:$G16&lt;&gt;""))=0))&gt;0,DATASET!$D17,"")</f>
        <v/>
      </c>
      <c r="AN17" t="str">
        <f t="shared" si="33"/>
        <v/>
      </c>
      <c r="AO17" t="str">
        <f>IF(((((DATASET!$C17='4 · Board Report'!$D$5)+('4 · Board Report'!$D$5=""))*((DATASET!$D17='4 · Board Report'!$D$6)+('4 · Board Report'!$D$6=""))*(DATASET!$E17&lt;&gt;"")*(DATASET!$G17&lt;&gt;""))*(SUMPRODUCT((DATASET!$E$2:$E16=DATASET!$E17)*((DATASET!$C$2:$C16='4 · Board Report'!$D$5)+('4 · Board Report'!$D$5=""))*((DATASET!$D$2:$D16='4 · Board Report'!$D$6)+('4 · Board Report'!$D$6=""))*(DATASET!$E$2:$E16&lt;&gt;"")*(DATASET!$G$2:$G16&lt;&gt;""))=0))&gt;0,DATASET!$E17,"")</f>
        <v/>
      </c>
      <c r="AP17" t="str">
        <f t="shared" si="34"/>
        <v/>
      </c>
      <c r="AQ17" t="str">
        <f>IF(((((DATASET!$C17='4 · Board Report'!$D$5)+('4 · Board Report'!$D$5=""))*((DATASET!$D17='4 · Board Report'!$D$6)+('4 · Board Report'!$D$6=""))*((DATASET!$E17='4 · Board Report'!$D$7)+('4 · Board Report'!$D$7=""))*(DATASET!$F17&lt;&gt;"")*(DATASET!$G17&lt;&gt;""))*(SUMPRODUCT((DATASET!$F$2:$F16=DATASET!$F17)*((DATASET!$C$2:$C16='4 · Board Report'!$D$5)+('4 · Board Report'!$D$5=""))*((DATASET!$D$2:$D16='4 · Board Report'!$D$6)+('4 · Board Report'!$D$6=""))*((DATASET!$E$2:$E16='4 · Board Report'!$D$7)+('4 · Board Report'!$D$7=""))*(DATASET!$F$2:$F16&lt;&gt;"")*(DATASET!$G$2:$G16&lt;&gt;""))=0))&gt;0,DATASET!$F17,"")</f>
        <v/>
      </c>
      <c r="AR17" t="str">
        <f t="shared" si="35"/>
        <v/>
      </c>
      <c r="AU17">
        <f>IF((((DATASET!$C17='5 · Modern Console'!$B$4)+('5 · Modern Console'!$B$4=""))*((DATASET!$D17='5 · Modern Console'!$D$4)+('5 · Modern Console'!$D$4=""))*((DATASET!$E17='5 · Modern Console'!$F$4)+('5 · Modern Console'!$F$4=""))*((DATASET!$F17='5 · Modern Console'!$H$4)+('5 · Modern Console'!$H$4=""))*(DATASET!$G17&lt;&gt;""))&gt;0,1,0)</f>
        <v>1</v>
      </c>
      <c r="AV17">
        <f t="shared" si="36"/>
        <v>16</v>
      </c>
      <c r="AW17" s="103">
        <f>IF(AU17=1,DATASET!$I17,"")</f>
        <v>-35.420000000000002</v>
      </c>
      <c r="AX17" t="str">
        <f>IF(((((DATASET!$C17='5 · Modern Console'!$B$4)+('5 · Modern Console'!$B$4=""))*(DATASET!$D17&lt;&gt;"")*(DATASET!$G17&lt;&gt;""))*(SUMPRODUCT((DATASET!$D$2:$D16=DATASET!$D17)*((DATASET!$C$2:$C16='5 · Modern Console'!$B$4)+('5 · Modern Console'!$B$4=""))*(DATASET!$D$2:$D16&lt;&gt;"")*(DATASET!$G$2:$G16&lt;&gt;""))=0))&gt;0,DATASET!$D17,"")</f>
        <v/>
      </c>
      <c r="AY17" t="str">
        <f t="shared" si="37"/>
        <v/>
      </c>
      <c r="AZ17" t="str">
        <f>IF(((((DATASET!$C17='5 · Modern Console'!$B$4)+('5 · Modern Console'!$B$4=""))*((DATASET!$D17='5 · Modern Console'!$D$4)+('5 · Modern Console'!$D$4=""))*(DATASET!$E17&lt;&gt;"")*(DATASET!$G17&lt;&gt;""))*(SUMPRODUCT((DATASET!$E$2:$E16=DATASET!$E17)*((DATASET!$C$2:$C16='5 · Modern Console'!$B$4)+('5 · Modern Console'!$B$4=""))*((DATASET!$D$2:$D16='5 · Modern Console'!$D$4)+('5 · Modern Console'!$D$4=""))*(DATASET!$E$2:$E16&lt;&gt;"")*(DATASET!$G$2:$G16&lt;&gt;""))=0))&gt;0,DATASET!$E17,"")</f>
        <v/>
      </c>
      <c r="BA17" t="str">
        <f t="shared" si="38"/>
        <v/>
      </c>
      <c r="BB17" t="str">
        <f>IF(((((DATASET!$C17='5 · Modern Console'!$B$4)+('5 · Modern Console'!$B$4=""))*((DATASET!$D17='5 · Modern Console'!$D$4)+('5 · Modern Console'!$D$4=""))*((DATASET!$E17='5 · Modern Console'!$F$4)+('5 · Modern Console'!$F$4=""))*(DATASET!$F17&lt;&gt;"")*(DATASET!$G17&lt;&gt;""))*(SUMPRODUCT((DATASET!$F$2:$F16=DATASET!$F17)*((DATASET!$C$2:$C16='5 · Modern Console'!$B$4)+('5 · Modern Console'!$B$4=""))*((DATASET!$D$2:$D16='5 · Modern Console'!$D$4)+('5 · Modern Console'!$D$4=""))*((DATASET!$E$2:$E16='5 · Modern Console'!$F$4)+('5 · Modern Console'!$F$4=""))*(DATASET!$F$2:$F16&lt;&gt;"")*(DATASET!$G$2:$G16&lt;&gt;""))=0))&gt;0,DATASET!$F17,"")</f>
        <v/>
      </c>
      <c r="BC17" t="str">
        <f t="shared" si="39"/>
        <v/>
      </c>
    </row>
    <row r="18" ht="15" customHeight="1">
      <c r="C18">
        <f>IF((((DATASET!$C18='1 · Executive View'!$B$6)+('1 · Executive View'!$B$6=""))*((DATASET!$D18='1 · Executive View'!$D$6)+('1 · Executive View'!$D$6=""))*((DATASET!$E18='1 · Executive View'!$F$6)+('1 · Executive View'!$F$6=""))*((DATASET!$F18='1 · Executive View'!$H$6)+('1 · Executive View'!$H$6=""))*(DATASET!$G18&lt;&gt;""))&gt;0,1,0)</f>
        <v>0</v>
      </c>
      <c r="D18" t="str">
        <f t="shared" si="20"/>
        <v/>
      </c>
      <c r="E18" s="103" t="str">
        <f>IF(C18=1,DATASET!$I18,"")</f>
        <v/>
      </c>
      <c r="F18" t="str">
        <f>IF(((((DATASET!$C18='1 · Executive View'!$B$6)+('1 · Executive View'!$B$6=""))*(DATASET!$D18&lt;&gt;"")*(DATASET!$G18&lt;&gt;""))*(SUMPRODUCT((DATASET!$D$2:$D17=DATASET!$D18)*((DATASET!$C$2:$C17='1 · Executive View'!$B$6)+('1 · Executive View'!$B$6=""))*(DATASET!$D$2:$D17&lt;&gt;"")*(DATASET!$G$2:$G17&lt;&gt;""))=0))&gt;0,DATASET!$D18,"")</f>
        <v/>
      </c>
      <c r="G18" t="str">
        <f t="shared" si="21"/>
        <v/>
      </c>
      <c r="H18" t="str">
        <f>IF(((((DATASET!$C18='1 · Executive View'!$B$6)+('1 · Executive View'!$B$6=""))*((DATASET!$D18='1 · Executive View'!$D$6)+('1 · Executive View'!$D$6=""))*(DATASET!$E18&lt;&gt;"")*(DATASET!$G18&lt;&gt;""))*(SUMPRODUCT((DATASET!$E$2:$E17=DATASET!$E18)*((DATASET!$C$2:$C17='1 · Executive View'!$B$6)+('1 · Executive View'!$B$6=""))*((DATASET!$D$2:$D17='1 · Executive View'!$D$6)+('1 · Executive View'!$D$6=""))*(DATASET!$E$2:$E17&lt;&gt;"")*(DATASET!$G$2:$G17&lt;&gt;""))=0))&gt;0,DATASET!$E18,"")</f>
        <v/>
      </c>
      <c r="I18" t="str">
        <f t="shared" si="22"/>
        <v/>
      </c>
      <c r="J18" t="str">
        <f>IF(((((DATASET!$C18='1 · Executive View'!$B$6)+('1 · Executive View'!$B$6=""))*((DATASET!$D18='1 · Executive View'!$D$6)+('1 · Executive View'!$D$6=""))*((DATASET!$E18='1 · Executive View'!$F$6)+('1 · Executive View'!$F$6=""))*(DATASET!$F18&lt;&gt;"")*(DATASET!$G18&lt;&gt;""))*(SUMPRODUCT((DATASET!$F$2:$F17=DATASET!$F18)*((DATASET!$C$2:$C17='1 · Executive View'!$B$6)+('1 · Executive View'!$B$6=""))*((DATASET!$D$2:$D17='1 · Executive View'!$D$6)+('1 · Executive View'!$D$6=""))*((DATASET!$E$2:$E17='1 · Executive View'!$F$6)+('1 · Executive View'!$F$6=""))*(DATASET!$F$2:$F17&lt;&gt;"")*(DATASET!$G$2:$G17&lt;&gt;""))=0))&gt;0,DATASET!$F18,"")</f>
        <v/>
      </c>
      <c r="K18" t="str">
        <f t="shared" si="23"/>
        <v/>
      </c>
      <c r="N18">
        <f>IF((((DATASET!$C18='2 · Sidebar Studio'!$B$7)+('2 · Sidebar Studio'!$B$7=""))*((DATASET!$D18='2 · Sidebar Studio'!$B$9)+('2 · Sidebar Studio'!$B$9=""))*((DATASET!$E18='2 · Sidebar Studio'!$B$11)+('2 · Sidebar Studio'!$B$11=""))*((DATASET!$F18='2 · Sidebar Studio'!$B$13)+('2 · Sidebar Studio'!$B$13=""))*(DATASET!$G18&lt;&gt;""))&gt;0,1,0)</f>
        <v>1</v>
      </c>
      <c r="O18">
        <f t="shared" si="24"/>
        <v>17</v>
      </c>
      <c r="P18" s="103">
        <f>IF(N18=1,DATASET!$I18,"")</f>
        <v>-13164</v>
      </c>
      <c r="Q18" t="str">
        <f>IF(((((DATASET!$C18='2 · Sidebar Studio'!$B$7)+('2 · Sidebar Studio'!$B$7=""))*(DATASET!$D18&lt;&gt;"")*(DATASET!$G18&lt;&gt;""))*(SUMPRODUCT((DATASET!$D$2:$D17=DATASET!$D18)*((DATASET!$C$2:$C17='2 · Sidebar Studio'!$B$7)+('2 · Sidebar Studio'!$B$7=""))*(DATASET!$D$2:$D17&lt;&gt;"")*(DATASET!$G$2:$G17&lt;&gt;""))=0))&gt;0,DATASET!$D18,"")</f>
        <v xml:space="preserve">c) Imposte differite e anticipate</v>
      </c>
      <c r="R18">
        <f t="shared" si="25"/>
        <v>7</v>
      </c>
      <c r="S18" t="str">
        <f>IF(((((DATASET!$C18='2 · Sidebar Studio'!$B$7)+('2 · Sidebar Studio'!$B$7=""))*((DATASET!$D18='2 · Sidebar Studio'!$B$9)+('2 · Sidebar Studio'!$B$9=""))*(DATASET!$E18&lt;&gt;"")*(DATASET!$G18&lt;&gt;""))*(SUMPRODUCT((DATASET!$E$2:$E17=DATASET!$E18)*((DATASET!$C$2:$C17='2 · Sidebar Studio'!$B$7)+('2 · Sidebar Studio'!$B$7=""))*((DATASET!$D$2:$D17='2 · Sidebar Studio'!$B$9)+('2 · Sidebar Studio'!$B$9=""))*(DATASET!$E$2:$E17&lt;&gt;"")*(DATASET!$G$2:$G17&lt;&gt;""))=0))&gt;0,DATASET!$E18,"")</f>
        <v/>
      </c>
      <c r="T18" t="str">
        <f t="shared" si="26"/>
        <v/>
      </c>
      <c r="U18" t="str">
        <f>IF(((((DATASET!$C18='2 · Sidebar Studio'!$B$7)+('2 · Sidebar Studio'!$B$7=""))*((DATASET!$D18='2 · Sidebar Studio'!$B$9)+('2 · Sidebar Studio'!$B$9=""))*((DATASET!$E18='2 · Sidebar Studio'!$B$11)+('2 · Sidebar Studio'!$B$11=""))*(DATASET!$F18&lt;&gt;"")*(DATASET!$G18&lt;&gt;""))*(SUMPRODUCT((DATASET!$F$2:$F17=DATASET!$F18)*((DATASET!$C$2:$C17='2 · Sidebar Studio'!$B$7)+('2 · Sidebar Studio'!$B$7=""))*((DATASET!$D$2:$D17='2 · Sidebar Studio'!$B$9)+('2 · Sidebar Studio'!$B$9=""))*((DATASET!$E$2:$E17='2 · Sidebar Studio'!$B$11)+('2 · Sidebar Studio'!$B$11=""))*(DATASET!$F$2:$F17&lt;&gt;"")*(DATASET!$G$2:$G17&lt;&gt;""))=0))&gt;0,DATASET!$F18,"")</f>
        <v/>
      </c>
      <c r="V18" t="str">
        <f t="shared" si="27"/>
        <v/>
      </c>
      <c r="Y18">
        <f>IF((((DATASET!$C18='3 · KPI Cards'!$B$9)+('3 · KPI Cards'!$B$9=""))*((DATASET!$D18='3 · KPI Cards'!$D$9)+('3 · KPI Cards'!$D$9=""))*((DATASET!$E18='3 · KPI Cards'!$F$9)+('3 · KPI Cards'!$F$9=""))*((DATASET!$F18='3 · KPI Cards'!$H$9)+('3 · KPI Cards'!$H$9=""))*(DATASET!$G18&lt;&gt;""))&gt;0,1,0)</f>
        <v>1</v>
      </c>
      <c r="Z18">
        <f t="shared" si="28"/>
        <v>17</v>
      </c>
      <c r="AA18" s="103">
        <f>IF(Y18=1,DATASET!$I18,"")</f>
        <v>-13164</v>
      </c>
      <c r="AB18" t="str">
        <f>IF(((((DATASET!$C18='3 · KPI Cards'!$B$9)+('3 · KPI Cards'!$B$9=""))*(DATASET!$D18&lt;&gt;"")*(DATASET!$G18&lt;&gt;""))*(SUMPRODUCT((DATASET!$D$2:$D17=DATASET!$D18)*((DATASET!$C$2:$C17='3 · KPI Cards'!$B$9)+('3 · KPI Cards'!$B$9=""))*(DATASET!$D$2:$D17&lt;&gt;"")*(DATASET!$G$2:$G17&lt;&gt;""))=0))&gt;0,DATASET!$D18,"")</f>
        <v xml:space="preserve">c) Imposte differite e anticipate</v>
      </c>
      <c r="AC18">
        <f t="shared" si="29"/>
        <v>7</v>
      </c>
      <c r="AD18" t="str">
        <f>IF(((((DATASET!$C18='3 · KPI Cards'!$B$9)+('3 · KPI Cards'!$B$9=""))*((DATASET!$D18='3 · KPI Cards'!$D$9)+('3 · KPI Cards'!$D$9=""))*(DATASET!$E18&lt;&gt;"")*(DATASET!$G18&lt;&gt;""))*(SUMPRODUCT((DATASET!$E$2:$E17=DATASET!$E18)*((DATASET!$C$2:$C17='3 · KPI Cards'!$B$9)+('3 · KPI Cards'!$B$9=""))*((DATASET!$D$2:$D17='3 · KPI Cards'!$D$9)+('3 · KPI Cards'!$D$9=""))*(DATASET!$E$2:$E17&lt;&gt;"")*(DATASET!$G$2:$G17&lt;&gt;""))=0))&gt;0,DATASET!$E18,"")</f>
        <v/>
      </c>
      <c r="AE18" t="str">
        <f t="shared" si="30"/>
        <v/>
      </c>
      <c r="AF18" t="str">
        <f>IF(((((DATASET!$C18='3 · KPI Cards'!$B$9)+('3 · KPI Cards'!$B$9=""))*((DATASET!$D18='3 · KPI Cards'!$D$9)+('3 · KPI Cards'!$D$9=""))*((DATASET!$E18='3 · KPI Cards'!$F$9)+('3 · KPI Cards'!$F$9=""))*(DATASET!$F18&lt;&gt;"")*(DATASET!$G18&lt;&gt;""))*(SUMPRODUCT((DATASET!$F$2:$F17=DATASET!$F18)*((DATASET!$C$2:$C17='3 · KPI Cards'!$B$9)+('3 · KPI Cards'!$B$9=""))*((DATASET!$D$2:$D17='3 · KPI Cards'!$D$9)+('3 · KPI Cards'!$D$9=""))*((DATASET!$E$2:$E17='3 · KPI Cards'!$F$9)+('3 · KPI Cards'!$F$9=""))*(DATASET!$F$2:$F17&lt;&gt;"")*(DATASET!$G$2:$G17&lt;&gt;""))=0))&gt;0,DATASET!$F18,"")</f>
        <v/>
      </c>
      <c r="AG18" t="str">
        <f t="shared" si="31"/>
        <v/>
      </c>
      <c r="AJ18">
        <f>IF((((DATASET!$C18='4 · Board Report'!$D$5)+('4 · Board Report'!$D$5=""))*((DATASET!$D18='4 · Board Report'!$D$6)+('4 · Board Report'!$D$6=""))*((DATASET!$E18='4 · Board Report'!$D$7)+('4 · Board Report'!$D$7=""))*((DATASET!$F18='4 · Board Report'!$D$8)+('4 · Board Report'!$D$8=""))*(DATASET!$G18&lt;&gt;""))&gt;0,1,0)</f>
        <v>0</v>
      </c>
      <c r="AK18" t="str">
        <f t="shared" si="32"/>
        <v/>
      </c>
      <c r="AL18" s="103" t="str">
        <f>IF(AJ18=1,DATASET!$I18,"")</f>
        <v/>
      </c>
      <c r="AM18" t="str">
        <f>IF(((((DATASET!$C18='4 · Board Report'!$D$5)+('4 · Board Report'!$D$5=""))*(DATASET!$D18&lt;&gt;"")*(DATASET!$G18&lt;&gt;""))*(SUMPRODUCT((DATASET!$D$2:$D17=DATASET!$D18)*((DATASET!$C$2:$C17='4 · Board Report'!$D$5)+('4 · Board Report'!$D$5=""))*(DATASET!$D$2:$D17&lt;&gt;"")*(DATASET!$G$2:$G17&lt;&gt;""))=0))&gt;0,DATASET!$D18,"")</f>
        <v/>
      </c>
      <c r="AN18" t="str">
        <f t="shared" si="33"/>
        <v/>
      </c>
      <c r="AO18" t="str">
        <f>IF(((((DATASET!$C18='4 · Board Report'!$D$5)+('4 · Board Report'!$D$5=""))*((DATASET!$D18='4 · Board Report'!$D$6)+('4 · Board Report'!$D$6=""))*(DATASET!$E18&lt;&gt;"")*(DATASET!$G18&lt;&gt;""))*(SUMPRODUCT((DATASET!$E$2:$E17=DATASET!$E18)*((DATASET!$C$2:$C17='4 · Board Report'!$D$5)+('4 · Board Report'!$D$5=""))*((DATASET!$D$2:$D17='4 · Board Report'!$D$6)+('4 · Board Report'!$D$6=""))*(DATASET!$E$2:$E17&lt;&gt;"")*(DATASET!$G$2:$G17&lt;&gt;""))=0))&gt;0,DATASET!$E18,"")</f>
        <v/>
      </c>
      <c r="AP18" t="str">
        <f t="shared" si="34"/>
        <v/>
      </c>
      <c r="AQ18" t="str">
        <f>IF(((((DATASET!$C18='4 · Board Report'!$D$5)+('4 · Board Report'!$D$5=""))*((DATASET!$D18='4 · Board Report'!$D$6)+('4 · Board Report'!$D$6=""))*((DATASET!$E18='4 · Board Report'!$D$7)+('4 · Board Report'!$D$7=""))*(DATASET!$F18&lt;&gt;"")*(DATASET!$G18&lt;&gt;""))*(SUMPRODUCT((DATASET!$F$2:$F17=DATASET!$F18)*((DATASET!$C$2:$C17='4 · Board Report'!$D$5)+('4 · Board Report'!$D$5=""))*((DATASET!$D$2:$D17='4 · Board Report'!$D$6)+('4 · Board Report'!$D$6=""))*((DATASET!$E$2:$E17='4 · Board Report'!$D$7)+('4 · Board Report'!$D$7=""))*(DATASET!$F$2:$F17&lt;&gt;"")*(DATASET!$G$2:$G17&lt;&gt;""))=0))&gt;0,DATASET!$F18,"")</f>
        <v/>
      </c>
      <c r="AR18" t="str">
        <f t="shared" si="35"/>
        <v/>
      </c>
      <c r="AU18">
        <f>IF((((DATASET!$C18='5 · Modern Console'!$B$4)+('5 · Modern Console'!$B$4=""))*((DATASET!$D18='5 · Modern Console'!$D$4)+('5 · Modern Console'!$D$4=""))*((DATASET!$E18='5 · Modern Console'!$F$4)+('5 · Modern Console'!$F$4=""))*((DATASET!$F18='5 · Modern Console'!$H$4)+('5 · Modern Console'!$H$4=""))*(DATASET!$G18&lt;&gt;""))&gt;0,1,0)</f>
        <v>1</v>
      </c>
      <c r="AV18">
        <f t="shared" si="36"/>
        <v>17</v>
      </c>
      <c r="AW18" s="103">
        <f>IF(AU18=1,DATASET!$I18,"")</f>
        <v>-13164</v>
      </c>
      <c r="AX18" t="str">
        <f>IF(((((DATASET!$C18='5 · Modern Console'!$B$4)+('5 · Modern Console'!$B$4=""))*(DATASET!$D18&lt;&gt;"")*(DATASET!$G18&lt;&gt;""))*(SUMPRODUCT((DATASET!$D$2:$D17=DATASET!$D18)*((DATASET!$C$2:$C17='5 · Modern Console'!$B$4)+('5 · Modern Console'!$B$4=""))*(DATASET!$D$2:$D17&lt;&gt;"")*(DATASET!$G$2:$G17&lt;&gt;""))=0))&gt;0,DATASET!$D18,"")</f>
        <v xml:space="preserve">c) Imposte differite e anticipate</v>
      </c>
      <c r="AY18">
        <f t="shared" si="37"/>
        <v>7</v>
      </c>
      <c r="AZ18" t="str">
        <f>IF(((((DATASET!$C18='5 · Modern Console'!$B$4)+('5 · Modern Console'!$B$4=""))*((DATASET!$D18='5 · Modern Console'!$D$4)+('5 · Modern Console'!$D$4=""))*(DATASET!$E18&lt;&gt;"")*(DATASET!$G18&lt;&gt;""))*(SUMPRODUCT((DATASET!$E$2:$E17=DATASET!$E18)*((DATASET!$C$2:$C17='5 · Modern Console'!$B$4)+('5 · Modern Console'!$B$4=""))*((DATASET!$D$2:$D17='5 · Modern Console'!$D$4)+('5 · Modern Console'!$D$4=""))*(DATASET!$E$2:$E17&lt;&gt;"")*(DATASET!$G$2:$G17&lt;&gt;""))=0))&gt;0,DATASET!$E18,"")</f>
        <v/>
      </c>
      <c r="BA18" t="str">
        <f t="shared" si="38"/>
        <v/>
      </c>
      <c r="BB18" t="str">
        <f>IF(((((DATASET!$C18='5 · Modern Console'!$B$4)+('5 · Modern Console'!$B$4=""))*((DATASET!$D18='5 · Modern Console'!$D$4)+('5 · Modern Console'!$D$4=""))*((DATASET!$E18='5 · Modern Console'!$F$4)+('5 · Modern Console'!$F$4=""))*(DATASET!$F18&lt;&gt;"")*(DATASET!$G18&lt;&gt;""))*(SUMPRODUCT((DATASET!$F$2:$F17=DATASET!$F18)*((DATASET!$C$2:$C17='5 · Modern Console'!$B$4)+('5 · Modern Console'!$B$4=""))*((DATASET!$D$2:$D17='5 · Modern Console'!$D$4)+('5 · Modern Console'!$D$4=""))*((DATASET!$E$2:$E17='5 · Modern Console'!$F$4)+('5 · Modern Console'!$F$4=""))*(DATASET!$F$2:$F17&lt;&gt;"")*(DATASET!$G$2:$G17&lt;&gt;""))=0))&gt;0,DATASET!$F18,"")</f>
        <v/>
      </c>
      <c r="BC18" t="str">
        <f t="shared" si="39"/>
        <v/>
      </c>
    </row>
    <row r="19" ht="15" customHeight="1">
      <c r="C19">
        <f>IF((((DATASET!$C19='1 · Executive View'!$B$6)+('1 · Executive View'!$B$6=""))*((DATASET!$D19='1 · Executive View'!$D$6)+('1 · Executive View'!$D$6=""))*((DATASET!$E19='1 · Executive View'!$F$6)+('1 · Executive View'!$F$6=""))*((DATASET!$F19='1 · Executive View'!$H$6)+('1 · Executive View'!$H$6=""))*(DATASET!$G19&lt;&gt;""))&gt;0,1,0)</f>
        <v>0</v>
      </c>
      <c r="D19" t="str">
        <f t="shared" si="20"/>
        <v/>
      </c>
      <c r="E19" s="103" t="str">
        <f>IF(C19=1,DATASET!$I19,"")</f>
        <v/>
      </c>
      <c r="F19" t="str">
        <f>IF(((((DATASET!$C19='1 · Executive View'!$B$6)+('1 · Executive View'!$B$6=""))*(DATASET!$D19&lt;&gt;"")*(DATASET!$G19&lt;&gt;""))*(SUMPRODUCT((DATASET!$D$2:$D18=DATASET!$D19)*((DATASET!$C$2:$C18='1 · Executive View'!$B$6)+('1 · Executive View'!$B$6=""))*(DATASET!$D$2:$D18&lt;&gt;"")*(DATASET!$G$2:$G18&lt;&gt;""))=0))&gt;0,DATASET!$D19,"")</f>
        <v/>
      </c>
      <c r="G19" t="str">
        <f t="shared" si="21"/>
        <v/>
      </c>
      <c r="H19" t="str">
        <f>IF(((((DATASET!$C19='1 · Executive View'!$B$6)+('1 · Executive View'!$B$6=""))*((DATASET!$D19='1 · Executive View'!$D$6)+('1 · Executive View'!$D$6=""))*(DATASET!$E19&lt;&gt;"")*(DATASET!$G19&lt;&gt;""))*(SUMPRODUCT((DATASET!$E$2:$E18=DATASET!$E19)*((DATASET!$C$2:$C18='1 · Executive View'!$B$6)+('1 · Executive View'!$B$6=""))*((DATASET!$D$2:$D18='1 · Executive View'!$D$6)+('1 · Executive View'!$D$6=""))*(DATASET!$E$2:$E18&lt;&gt;"")*(DATASET!$G$2:$G18&lt;&gt;""))=0))&gt;0,DATASET!$E19,"")</f>
        <v/>
      </c>
      <c r="I19" t="str">
        <f t="shared" si="22"/>
        <v/>
      </c>
      <c r="J19" t="str">
        <f>IF(((((DATASET!$C19='1 · Executive View'!$B$6)+('1 · Executive View'!$B$6=""))*((DATASET!$D19='1 · Executive View'!$D$6)+('1 · Executive View'!$D$6=""))*((DATASET!$E19='1 · Executive View'!$F$6)+('1 · Executive View'!$F$6=""))*(DATASET!$F19&lt;&gt;"")*(DATASET!$G19&lt;&gt;""))*(SUMPRODUCT((DATASET!$F$2:$F18=DATASET!$F19)*((DATASET!$C$2:$C18='1 · Executive View'!$B$6)+('1 · Executive View'!$B$6=""))*((DATASET!$D$2:$D18='1 · Executive View'!$D$6)+('1 · Executive View'!$D$6=""))*((DATASET!$E$2:$E18='1 · Executive View'!$F$6)+('1 · Executive View'!$F$6=""))*(DATASET!$F$2:$F18&lt;&gt;"")*(DATASET!$G$2:$G18&lt;&gt;""))=0))&gt;0,DATASET!$F19,"")</f>
        <v/>
      </c>
      <c r="K19" t="str">
        <f t="shared" si="23"/>
        <v/>
      </c>
      <c r="N19">
        <f>IF((((DATASET!$C19='2 · Sidebar Studio'!$B$7)+('2 · Sidebar Studio'!$B$7=""))*((DATASET!$D19='2 · Sidebar Studio'!$B$9)+('2 · Sidebar Studio'!$B$9=""))*((DATASET!$E19='2 · Sidebar Studio'!$B$11)+('2 · Sidebar Studio'!$B$11=""))*((DATASET!$F19='2 · Sidebar Studio'!$B$13)+('2 · Sidebar Studio'!$B$13=""))*(DATASET!$G19&lt;&gt;""))&gt;0,1,0)</f>
        <v>1</v>
      </c>
      <c r="O19">
        <f t="shared" si="24"/>
        <v>18</v>
      </c>
      <c r="P19" s="103">
        <f>IF(N19=1,DATASET!$I19,"")</f>
        <v>-429</v>
      </c>
      <c r="Q19" t="str">
        <f>IF(((((DATASET!$C19='2 · Sidebar Studio'!$B$7)+('2 · Sidebar Studio'!$B$7=""))*(DATASET!$D19&lt;&gt;"")*(DATASET!$G19&lt;&gt;""))*(SUMPRODUCT((DATASET!$D$2:$D18=DATASET!$D19)*((DATASET!$C$2:$C18='2 · Sidebar Studio'!$B$7)+('2 · Sidebar Studio'!$B$7=""))*(DATASET!$D$2:$D18&lt;&gt;"")*(DATASET!$G$2:$G18&lt;&gt;""))=0))&gt;0,DATASET!$D19,"")</f>
        <v/>
      </c>
      <c r="R19" t="str">
        <f t="shared" si="25"/>
        <v/>
      </c>
      <c r="S19" t="str">
        <f>IF(((((DATASET!$C19='2 · Sidebar Studio'!$B$7)+('2 · Sidebar Studio'!$B$7=""))*((DATASET!$D19='2 · Sidebar Studio'!$B$9)+('2 · Sidebar Studio'!$B$9=""))*(DATASET!$E19&lt;&gt;"")*(DATASET!$G19&lt;&gt;""))*(SUMPRODUCT((DATASET!$E$2:$E18=DATASET!$E19)*((DATASET!$C$2:$C18='2 · Sidebar Studio'!$B$7)+('2 · Sidebar Studio'!$B$7=""))*((DATASET!$D$2:$D18='2 · Sidebar Studio'!$B$9)+('2 · Sidebar Studio'!$B$9=""))*(DATASET!$E$2:$E18&lt;&gt;"")*(DATASET!$G$2:$G18&lt;&gt;""))=0))&gt;0,DATASET!$E19,"")</f>
        <v/>
      </c>
      <c r="T19" t="str">
        <f t="shared" si="26"/>
        <v/>
      </c>
      <c r="U19" t="str">
        <f>IF(((((DATASET!$C19='2 · Sidebar Studio'!$B$7)+('2 · Sidebar Studio'!$B$7=""))*((DATASET!$D19='2 · Sidebar Studio'!$B$9)+('2 · Sidebar Studio'!$B$9=""))*((DATASET!$E19='2 · Sidebar Studio'!$B$11)+('2 · Sidebar Studio'!$B$11=""))*(DATASET!$F19&lt;&gt;"")*(DATASET!$G19&lt;&gt;""))*(SUMPRODUCT((DATASET!$F$2:$F18=DATASET!$F19)*((DATASET!$C$2:$C18='2 · Sidebar Studio'!$B$7)+('2 · Sidebar Studio'!$B$7=""))*((DATASET!$D$2:$D18='2 · Sidebar Studio'!$B$9)+('2 · Sidebar Studio'!$B$9=""))*((DATASET!$E$2:$E18='2 · Sidebar Studio'!$B$11)+('2 · Sidebar Studio'!$B$11=""))*(DATASET!$F$2:$F18&lt;&gt;"")*(DATASET!$G$2:$G18&lt;&gt;""))=0))&gt;0,DATASET!$F19,"")</f>
        <v/>
      </c>
      <c r="V19" t="str">
        <f t="shared" si="27"/>
        <v/>
      </c>
      <c r="Y19">
        <f>IF((((DATASET!$C19='3 · KPI Cards'!$B$9)+('3 · KPI Cards'!$B$9=""))*((DATASET!$D19='3 · KPI Cards'!$D$9)+('3 · KPI Cards'!$D$9=""))*((DATASET!$E19='3 · KPI Cards'!$F$9)+('3 · KPI Cards'!$F$9=""))*((DATASET!$F19='3 · KPI Cards'!$H$9)+('3 · KPI Cards'!$H$9=""))*(DATASET!$G19&lt;&gt;""))&gt;0,1,0)</f>
        <v>1</v>
      </c>
      <c r="Z19">
        <f t="shared" si="28"/>
        <v>18</v>
      </c>
      <c r="AA19" s="103">
        <f>IF(Y19=1,DATASET!$I19,"")</f>
        <v>-429</v>
      </c>
      <c r="AB19" t="str">
        <f>IF(((((DATASET!$C19='3 · KPI Cards'!$B$9)+('3 · KPI Cards'!$B$9=""))*(DATASET!$D19&lt;&gt;"")*(DATASET!$G19&lt;&gt;""))*(SUMPRODUCT((DATASET!$D$2:$D18=DATASET!$D19)*((DATASET!$C$2:$C18='3 · KPI Cards'!$B$9)+('3 · KPI Cards'!$B$9=""))*(DATASET!$D$2:$D18&lt;&gt;"")*(DATASET!$G$2:$G18&lt;&gt;""))=0))&gt;0,DATASET!$D19,"")</f>
        <v/>
      </c>
      <c r="AC19" t="str">
        <f t="shared" si="29"/>
        <v/>
      </c>
      <c r="AD19" t="str">
        <f>IF(((((DATASET!$C19='3 · KPI Cards'!$B$9)+('3 · KPI Cards'!$B$9=""))*((DATASET!$D19='3 · KPI Cards'!$D$9)+('3 · KPI Cards'!$D$9=""))*(DATASET!$E19&lt;&gt;"")*(DATASET!$G19&lt;&gt;""))*(SUMPRODUCT((DATASET!$E$2:$E18=DATASET!$E19)*((DATASET!$C$2:$C18='3 · KPI Cards'!$B$9)+('3 · KPI Cards'!$B$9=""))*((DATASET!$D$2:$D18='3 · KPI Cards'!$D$9)+('3 · KPI Cards'!$D$9=""))*(DATASET!$E$2:$E18&lt;&gt;"")*(DATASET!$G$2:$G18&lt;&gt;""))=0))&gt;0,DATASET!$E19,"")</f>
        <v/>
      </c>
      <c r="AE19" t="str">
        <f t="shared" si="30"/>
        <v/>
      </c>
      <c r="AF19" t="str">
        <f>IF(((((DATASET!$C19='3 · KPI Cards'!$B$9)+('3 · KPI Cards'!$B$9=""))*((DATASET!$D19='3 · KPI Cards'!$D$9)+('3 · KPI Cards'!$D$9=""))*((DATASET!$E19='3 · KPI Cards'!$F$9)+('3 · KPI Cards'!$F$9=""))*(DATASET!$F19&lt;&gt;"")*(DATASET!$G19&lt;&gt;""))*(SUMPRODUCT((DATASET!$F$2:$F18=DATASET!$F19)*((DATASET!$C$2:$C18='3 · KPI Cards'!$B$9)+('3 · KPI Cards'!$B$9=""))*((DATASET!$D$2:$D18='3 · KPI Cards'!$D$9)+('3 · KPI Cards'!$D$9=""))*((DATASET!$E$2:$E18='3 · KPI Cards'!$F$9)+('3 · KPI Cards'!$F$9=""))*(DATASET!$F$2:$F18&lt;&gt;"")*(DATASET!$G$2:$G18&lt;&gt;""))=0))&gt;0,DATASET!$F19,"")</f>
        <v/>
      </c>
      <c r="AG19" t="str">
        <f t="shared" si="31"/>
        <v/>
      </c>
      <c r="AJ19">
        <f>IF((((DATASET!$C19='4 · Board Report'!$D$5)+('4 · Board Report'!$D$5=""))*((DATASET!$D19='4 · Board Report'!$D$6)+('4 · Board Report'!$D$6=""))*((DATASET!$E19='4 · Board Report'!$D$7)+('4 · Board Report'!$D$7=""))*((DATASET!$F19='4 · Board Report'!$D$8)+('4 · Board Report'!$D$8=""))*(DATASET!$G19&lt;&gt;""))&gt;0,1,0)</f>
        <v>0</v>
      </c>
      <c r="AK19" t="str">
        <f t="shared" si="32"/>
        <v/>
      </c>
      <c r="AL19" s="103" t="str">
        <f>IF(AJ19=1,DATASET!$I19,"")</f>
        <v/>
      </c>
      <c r="AM19" t="str">
        <f>IF(((((DATASET!$C19='4 · Board Report'!$D$5)+('4 · Board Report'!$D$5=""))*(DATASET!$D19&lt;&gt;"")*(DATASET!$G19&lt;&gt;""))*(SUMPRODUCT((DATASET!$D$2:$D18=DATASET!$D19)*((DATASET!$C$2:$C18='4 · Board Report'!$D$5)+('4 · Board Report'!$D$5=""))*(DATASET!$D$2:$D18&lt;&gt;"")*(DATASET!$G$2:$G18&lt;&gt;""))=0))&gt;0,DATASET!$D19,"")</f>
        <v/>
      </c>
      <c r="AN19" t="str">
        <f t="shared" si="33"/>
        <v/>
      </c>
      <c r="AO19" t="str">
        <f>IF(((((DATASET!$C19='4 · Board Report'!$D$5)+('4 · Board Report'!$D$5=""))*((DATASET!$D19='4 · Board Report'!$D$6)+('4 · Board Report'!$D$6=""))*(DATASET!$E19&lt;&gt;"")*(DATASET!$G19&lt;&gt;""))*(SUMPRODUCT((DATASET!$E$2:$E18=DATASET!$E19)*((DATASET!$C$2:$C18='4 · Board Report'!$D$5)+('4 · Board Report'!$D$5=""))*((DATASET!$D$2:$D18='4 · Board Report'!$D$6)+('4 · Board Report'!$D$6=""))*(DATASET!$E$2:$E18&lt;&gt;"")*(DATASET!$G$2:$G18&lt;&gt;""))=0))&gt;0,DATASET!$E19,"")</f>
        <v/>
      </c>
      <c r="AP19" t="str">
        <f t="shared" si="34"/>
        <v/>
      </c>
      <c r="AQ19" t="str">
        <f>IF(((((DATASET!$C19='4 · Board Report'!$D$5)+('4 · Board Report'!$D$5=""))*((DATASET!$D19='4 · Board Report'!$D$6)+('4 · Board Report'!$D$6=""))*((DATASET!$E19='4 · Board Report'!$D$7)+('4 · Board Report'!$D$7=""))*(DATASET!$F19&lt;&gt;"")*(DATASET!$G19&lt;&gt;""))*(SUMPRODUCT((DATASET!$F$2:$F18=DATASET!$F19)*((DATASET!$C$2:$C18='4 · Board Report'!$D$5)+('4 · Board Report'!$D$5=""))*((DATASET!$D$2:$D18='4 · Board Report'!$D$6)+('4 · Board Report'!$D$6=""))*((DATASET!$E$2:$E18='4 · Board Report'!$D$7)+('4 · Board Report'!$D$7=""))*(DATASET!$F$2:$F18&lt;&gt;"")*(DATASET!$G$2:$G18&lt;&gt;""))=0))&gt;0,DATASET!$F19,"")</f>
        <v/>
      </c>
      <c r="AR19" t="str">
        <f t="shared" si="35"/>
        <v/>
      </c>
      <c r="AU19">
        <f>IF((((DATASET!$C19='5 · Modern Console'!$B$4)+('5 · Modern Console'!$B$4=""))*((DATASET!$D19='5 · Modern Console'!$D$4)+('5 · Modern Console'!$D$4=""))*((DATASET!$E19='5 · Modern Console'!$F$4)+('5 · Modern Console'!$F$4=""))*((DATASET!$F19='5 · Modern Console'!$H$4)+('5 · Modern Console'!$H$4=""))*(DATASET!$G19&lt;&gt;""))&gt;0,1,0)</f>
        <v>1</v>
      </c>
      <c r="AV19">
        <f t="shared" si="36"/>
        <v>18</v>
      </c>
      <c r="AW19" s="103">
        <f>IF(AU19=1,DATASET!$I19,"")</f>
        <v>-429</v>
      </c>
      <c r="AX19" t="str">
        <f>IF(((((DATASET!$C19='5 · Modern Console'!$B$4)+('5 · Modern Console'!$B$4=""))*(DATASET!$D19&lt;&gt;"")*(DATASET!$G19&lt;&gt;""))*(SUMPRODUCT((DATASET!$D$2:$D18=DATASET!$D19)*((DATASET!$C$2:$C18='5 · Modern Console'!$B$4)+('5 · Modern Console'!$B$4=""))*(DATASET!$D$2:$D18&lt;&gt;"")*(DATASET!$G$2:$G18&lt;&gt;""))=0))&gt;0,DATASET!$D19,"")</f>
        <v/>
      </c>
      <c r="AY19" t="str">
        <f t="shared" si="37"/>
        <v/>
      </c>
      <c r="AZ19" t="str">
        <f>IF(((((DATASET!$C19='5 · Modern Console'!$B$4)+('5 · Modern Console'!$B$4=""))*((DATASET!$D19='5 · Modern Console'!$D$4)+('5 · Modern Console'!$D$4=""))*(DATASET!$E19&lt;&gt;"")*(DATASET!$G19&lt;&gt;""))*(SUMPRODUCT((DATASET!$E$2:$E18=DATASET!$E19)*((DATASET!$C$2:$C18='5 · Modern Console'!$B$4)+('5 · Modern Console'!$B$4=""))*((DATASET!$D$2:$D18='5 · Modern Console'!$D$4)+('5 · Modern Console'!$D$4=""))*(DATASET!$E$2:$E18&lt;&gt;"")*(DATASET!$G$2:$G18&lt;&gt;""))=0))&gt;0,DATASET!$E19,"")</f>
        <v/>
      </c>
      <c r="BA19" t="str">
        <f t="shared" si="38"/>
        <v/>
      </c>
      <c r="BB19" t="str">
        <f>IF(((((DATASET!$C19='5 · Modern Console'!$B$4)+('5 · Modern Console'!$B$4=""))*((DATASET!$D19='5 · Modern Console'!$D$4)+('5 · Modern Console'!$D$4=""))*((DATASET!$E19='5 · Modern Console'!$F$4)+('5 · Modern Console'!$F$4=""))*(DATASET!$F19&lt;&gt;"")*(DATASET!$G19&lt;&gt;""))*(SUMPRODUCT((DATASET!$F$2:$F18=DATASET!$F19)*((DATASET!$C$2:$C18='5 · Modern Console'!$B$4)+('5 · Modern Console'!$B$4=""))*((DATASET!$D$2:$D18='5 · Modern Console'!$D$4)+('5 · Modern Console'!$D$4=""))*((DATASET!$E$2:$E18='5 · Modern Console'!$F$4)+('5 · Modern Console'!$F$4=""))*(DATASET!$F$2:$F18&lt;&gt;"")*(DATASET!$G$2:$G18&lt;&gt;""))=0))&gt;0,DATASET!$F19,"")</f>
        <v/>
      </c>
      <c r="BC19" t="str">
        <f t="shared" si="39"/>
        <v/>
      </c>
    </row>
    <row r="20" ht="15" customHeight="1">
      <c r="C20">
        <f>IF((((DATASET!$C20='1 · Executive View'!$B$6)+('1 · Executive View'!$B$6=""))*((DATASET!$D20='1 · Executive View'!$D$6)+('1 · Executive View'!$D$6=""))*((DATASET!$E20='1 · Executive View'!$F$6)+('1 · Executive View'!$F$6=""))*((DATASET!$F20='1 · Executive View'!$H$6)+('1 · Executive View'!$H$6=""))*(DATASET!$G20&lt;&gt;""))&gt;0,1,0)</f>
        <v>0</v>
      </c>
      <c r="D20" t="str">
        <f t="shared" si="20"/>
        <v/>
      </c>
      <c r="E20" t="str">
        <f>IF(C20=1,DATASET!$I20,"")</f>
        <v/>
      </c>
      <c r="F20" t="str">
        <f>IF(((((DATASET!$C20='1 · Executive View'!$B$6)+('1 · Executive View'!$B$6=""))*(DATASET!$D20&lt;&gt;"")*(DATASET!$G20&lt;&gt;""))*(SUMPRODUCT((DATASET!$D$2:$D19=DATASET!$D20)*((DATASET!$C$2:$C19='1 · Executive View'!$B$6)+('1 · Executive View'!$B$6=""))*(DATASET!$D$2:$D19&lt;&gt;"")*(DATASET!$G$2:$G19&lt;&gt;""))=0))&gt;0,DATASET!$D20,"")</f>
        <v/>
      </c>
      <c r="G20" t="str">
        <f t="shared" si="21"/>
        <v/>
      </c>
      <c r="H20" t="str">
        <f>IF(((((DATASET!$C20='1 · Executive View'!$B$6)+('1 · Executive View'!$B$6=""))*((DATASET!$D20='1 · Executive View'!$D$6)+('1 · Executive View'!$D$6=""))*(DATASET!$E20&lt;&gt;"")*(DATASET!$G20&lt;&gt;""))*(SUMPRODUCT((DATASET!$E$2:$E19=DATASET!$E20)*((DATASET!$C$2:$C19='1 · Executive View'!$B$6)+('1 · Executive View'!$B$6=""))*((DATASET!$D$2:$D19='1 · Executive View'!$D$6)+('1 · Executive View'!$D$6=""))*(DATASET!$E$2:$E19&lt;&gt;"")*(DATASET!$G$2:$G19&lt;&gt;""))=0))&gt;0,DATASET!$E20,"")</f>
        <v/>
      </c>
      <c r="I20" t="str">
        <f t="shared" si="22"/>
        <v/>
      </c>
      <c r="J20" t="str">
        <f>IF(((((DATASET!$C20='1 · Executive View'!$B$6)+('1 · Executive View'!$B$6=""))*((DATASET!$D20='1 · Executive View'!$D$6)+('1 · Executive View'!$D$6=""))*((DATASET!$E20='1 · Executive View'!$F$6)+('1 · Executive View'!$F$6=""))*(DATASET!$F20&lt;&gt;"")*(DATASET!$G20&lt;&gt;""))*(SUMPRODUCT((DATASET!$F$2:$F19=DATASET!$F20)*((DATASET!$C$2:$C19='1 · Executive View'!$B$6)+('1 · Executive View'!$B$6=""))*((DATASET!$D$2:$D19='1 · Executive View'!$D$6)+('1 · Executive View'!$D$6=""))*((DATASET!$E$2:$E19='1 · Executive View'!$F$6)+('1 · Executive View'!$F$6=""))*(DATASET!$F$2:$F19&lt;&gt;"")*(DATASET!$G$2:$G19&lt;&gt;""))=0))&gt;0,DATASET!$F20,"")</f>
        <v/>
      </c>
      <c r="K20" t="str">
        <f t="shared" si="23"/>
        <v/>
      </c>
      <c r="N20">
        <f>IF((((DATASET!$C20='2 · Sidebar Studio'!$B$7)+('2 · Sidebar Studio'!$B$7=""))*((DATASET!$D20='2 · Sidebar Studio'!$B$9)+('2 · Sidebar Studio'!$B$9=""))*((DATASET!$E20='2 · Sidebar Studio'!$B$11)+('2 · Sidebar Studio'!$B$11=""))*((DATASET!$F20='2 · Sidebar Studio'!$B$13)+('2 · Sidebar Studio'!$B$13=""))*(DATASET!$G20&lt;&gt;""))&gt;0,1,0)</f>
        <v>0</v>
      </c>
      <c r="O20" t="str">
        <f t="shared" si="24"/>
        <v/>
      </c>
      <c r="P20" t="str">
        <f>IF(N20=1,DATASET!$I20,"")</f>
        <v/>
      </c>
      <c r="Q20" t="str">
        <f>IF(((((DATASET!$C20='2 · Sidebar Studio'!$B$7)+('2 · Sidebar Studio'!$B$7=""))*(DATASET!$D20&lt;&gt;"")*(DATASET!$G20&lt;&gt;""))*(SUMPRODUCT((DATASET!$D$2:$D19=DATASET!$D20)*((DATASET!$C$2:$C19='2 · Sidebar Studio'!$B$7)+('2 · Sidebar Studio'!$B$7=""))*(DATASET!$D$2:$D19&lt;&gt;"")*(DATASET!$G$2:$G19&lt;&gt;""))=0))&gt;0,DATASET!$D20,"")</f>
        <v/>
      </c>
      <c r="R20" t="str">
        <f t="shared" si="25"/>
        <v/>
      </c>
      <c r="S20" t="str">
        <f>IF(((((DATASET!$C20='2 · Sidebar Studio'!$B$7)+('2 · Sidebar Studio'!$B$7=""))*((DATASET!$D20='2 · Sidebar Studio'!$B$9)+('2 · Sidebar Studio'!$B$9=""))*(DATASET!$E20&lt;&gt;"")*(DATASET!$G20&lt;&gt;""))*(SUMPRODUCT((DATASET!$E$2:$E19=DATASET!$E20)*((DATASET!$C$2:$C19='2 · Sidebar Studio'!$B$7)+('2 · Sidebar Studio'!$B$7=""))*((DATASET!$D$2:$D19='2 · Sidebar Studio'!$B$9)+('2 · Sidebar Studio'!$B$9=""))*(DATASET!$E$2:$E19&lt;&gt;"")*(DATASET!$G$2:$G19&lt;&gt;""))=0))&gt;0,DATASET!$E20,"")</f>
        <v/>
      </c>
      <c r="T20" t="str">
        <f t="shared" si="26"/>
        <v/>
      </c>
      <c r="U20" t="str">
        <f>IF(((((DATASET!$C20='2 · Sidebar Studio'!$B$7)+('2 · Sidebar Studio'!$B$7=""))*((DATASET!$D20='2 · Sidebar Studio'!$B$9)+('2 · Sidebar Studio'!$B$9=""))*((DATASET!$E20='2 · Sidebar Studio'!$B$11)+('2 · Sidebar Studio'!$B$11=""))*(DATASET!$F20&lt;&gt;"")*(DATASET!$G20&lt;&gt;""))*(SUMPRODUCT((DATASET!$F$2:$F19=DATASET!$F20)*((DATASET!$C$2:$C19='2 · Sidebar Studio'!$B$7)+('2 · Sidebar Studio'!$B$7=""))*((DATASET!$D$2:$D19='2 · Sidebar Studio'!$B$9)+('2 · Sidebar Studio'!$B$9=""))*((DATASET!$E$2:$E19='2 · Sidebar Studio'!$B$11)+('2 · Sidebar Studio'!$B$11=""))*(DATASET!$F$2:$F19&lt;&gt;"")*(DATASET!$G$2:$G19&lt;&gt;""))=0))&gt;0,DATASET!$F20,"")</f>
        <v/>
      </c>
      <c r="V20" t="str">
        <f t="shared" si="27"/>
        <v/>
      </c>
      <c r="Y20">
        <f>IF((((DATASET!$C20='3 · KPI Cards'!$B$9)+('3 · KPI Cards'!$B$9=""))*((DATASET!$D20='3 · KPI Cards'!$D$9)+('3 · KPI Cards'!$D$9=""))*((DATASET!$E20='3 · KPI Cards'!$F$9)+('3 · KPI Cards'!$F$9=""))*((DATASET!$F20='3 · KPI Cards'!$H$9)+('3 · KPI Cards'!$H$9=""))*(DATASET!$G20&lt;&gt;""))&gt;0,1,0)</f>
        <v>0</v>
      </c>
      <c r="Z20" t="str">
        <f t="shared" si="28"/>
        <v/>
      </c>
      <c r="AA20" t="str">
        <f>IF(Y20=1,DATASET!$I20,"")</f>
        <v/>
      </c>
      <c r="AB20" t="str">
        <f>IF(((((DATASET!$C20='3 · KPI Cards'!$B$9)+('3 · KPI Cards'!$B$9=""))*(DATASET!$D20&lt;&gt;"")*(DATASET!$G20&lt;&gt;""))*(SUMPRODUCT((DATASET!$D$2:$D19=DATASET!$D20)*((DATASET!$C$2:$C19='3 · KPI Cards'!$B$9)+('3 · KPI Cards'!$B$9=""))*(DATASET!$D$2:$D19&lt;&gt;"")*(DATASET!$G$2:$G19&lt;&gt;""))=0))&gt;0,DATASET!$D20,"")</f>
        <v/>
      </c>
      <c r="AC20" t="str">
        <f t="shared" si="29"/>
        <v/>
      </c>
      <c r="AD20" t="str">
        <f>IF(((((DATASET!$C20='3 · KPI Cards'!$B$9)+('3 · KPI Cards'!$B$9=""))*((DATASET!$D20='3 · KPI Cards'!$D$9)+('3 · KPI Cards'!$D$9=""))*(DATASET!$E20&lt;&gt;"")*(DATASET!$G20&lt;&gt;""))*(SUMPRODUCT((DATASET!$E$2:$E19=DATASET!$E20)*((DATASET!$C$2:$C19='3 · KPI Cards'!$B$9)+('3 · KPI Cards'!$B$9=""))*((DATASET!$D$2:$D19='3 · KPI Cards'!$D$9)+('3 · KPI Cards'!$D$9=""))*(DATASET!$E$2:$E19&lt;&gt;"")*(DATASET!$G$2:$G19&lt;&gt;""))=0))&gt;0,DATASET!$E20,"")</f>
        <v/>
      </c>
      <c r="AE20" t="str">
        <f t="shared" si="30"/>
        <v/>
      </c>
      <c r="AF20" t="str">
        <f>IF(((((DATASET!$C20='3 · KPI Cards'!$B$9)+('3 · KPI Cards'!$B$9=""))*((DATASET!$D20='3 · KPI Cards'!$D$9)+('3 · KPI Cards'!$D$9=""))*((DATASET!$E20='3 · KPI Cards'!$F$9)+('3 · KPI Cards'!$F$9=""))*(DATASET!$F20&lt;&gt;"")*(DATASET!$G20&lt;&gt;""))*(SUMPRODUCT((DATASET!$F$2:$F19=DATASET!$F20)*((DATASET!$C$2:$C19='3 · KPI Cards'!$B$9)+('3 · KPI Cards'!$B$9=""))*((DATASET!$D$2:$D19='3 · KPI Cards'!$D$9)+('3 · KPI Cards'!$D$9=""))*((DATASET!$E$2:$E19='3 · KPI Cards'!$F$9)+('3 · KPI Cards'!$F$9=""))*(DATASET!$F$2:$F19&lt;&gt;"")*(DATASET!$G$2:$G19&lt;&gt;""))=0))&gt;0,DATASET!$F20,"")</f>
        <v/>
      </c>
      <c r="AG20" t="str">
        <f t="shared" si="31"/>
        <v/>
      </c>
      <c r="AJ20">
        <f>IF((((DATASET!$C20='4 · Board Report'!$D$5)+('4 · Board Report'!$D$5=""))*((DATASET!$D20='4 · Board Report'!$D$6)+('4 · Board Report'!$D$6=""))*((DATASET!$E20='4 · Board Report'!$D$7)+('4 · Board Report'!$D$7=""))*((DATASET!$F20='4 · Board Report'!$D$8)+('4 · Board Report'!$D$8=""))*(DATASET!$G20&lt;&gt;""))&gt;0,1,0)</f>
        <v>0</v>
      </c>
      <c r="AK20" t="str">
        <f t="shared" si="32"/>
        <v/>
      </c>
      <c r="AL20" t="str">
        <f>IF(AJ20=1,DATASET!$I20,"")</f>
        <v/>
      </c>
      <c r="AM20" t="str">
        <f>IF(((((DATASET!$C20='4 · Board Report'!$D$5)+('4 · Board Report'!$D$5=""))*(DATASET!$D20&lt;&gt;"")*(DATASET!$G20&lt;&gt;""))*(SUMPRODUCT((DATASET!$D$2:$D19=DATASET!$D20)*((DATASET!$C$2:$C19='4 · Board Report'!$D$5)+('4 · Board Report'!$D$5=""))*(DATASET!$D$2:$D19&lt;&gt;"")*(DATASET!$G$2:$G19&lt;&gt;""))=0))&gt;0,DATASET!$D20,"")</f>
        <v/>
      </c>
      <c r="AN20" t="str">
        <f t="shared" si="33"/>
        <v/>
      </c>
      <c r="AO20" t="str">
        <f>IF(((((DATASET!$C20='4 · Board Report'!$D$5)+('4 · Board Report'!$D$5=""))*((DATASET!$D20='4 · Board Report'!$D$6)+('4 · Board Report'!$D$6=""))*(DATASET!$E20&lt;&gt;"")*(DATASET!$G20&lt;&gt;""))*(SUMPRODUCT((DATASET!$E$2:$E19=DATASET!$E20)*((DATASET!$C$2:$C19='4 · Board Report'!$D$5)+('4 · Board Report'!$D$5=""))*((DATASET!$D$2:$D19='4 · Board Report'!$D$6)+('4 · Board Report'!$D$6=""))*(DATASET!$E$2:$E19&lt;&gt;"")*(DATASET!$G$2:$G19&lt;&gt;""))=0))&gt;0,DATASET!$E20,"")</f>
        <v/>
      </c>
      <c r="AP20" t="str">
        <f t="shared" si="34"/>
        <v/>
      </c>
      <c r="AQ20" t="str">
        <f>IF(((((DATASET!$C20='4 · Board Report'!$D$5)+('4 · Board Report'!$D$5=""))*((DATASET!$D20='4 · Board Report'!$D$6)+('4 · Board Report'!$D$6=""))*((DATASET!$E20='4 · Board Report'!$D$7)+('4 · Board Report'!$D$7=""))*(DATASET!$F20&lt;&gt;"")*(DATASET!$G20&lt;&gt;""))*(SUMPRODUCT((DATASET!$F$2:$F19=DATASET!$F20)*((DATASET!$C$2:$C19='4 · Board Report'!$D$5)+('4 · Board Report'!$D$5=""))*((DATASET!$D$2:$D19='4 · Board Report'!$D$6)+('4 · Board Report'!$D$6=""))*((DATASET!$E$2:$E19='4 · Board Report'!$D$7)+('4 · Board Report'!$D$7=""))*(DATASET!$F$2:$F19&lt;&gt;"")*(DATASET!$G$2:$G19&lt;&gt;""))=0))&gt;0,DATASET!$F20,"")</f>
        <v/>
      </c>
      <c r="AR20" t="str">
        <f t="shared" si="35"/>
        <v/>
      </c>
      <c r="AU20">
        <f>IF((((DATASET!$C20='5 · Modern Console'!$B$4)+('5 · Modern Console'!$B$4=""))*((DATASET!$D20='5 · Modern Console'!$D$4)+('5 · Modern Console'!$D$4=""))*((DATASET!$E20='5 · Modern Console'!$F$4)+('5 · Modern Console'!$F$4=""))*((DATASET!$F20='5 · Modern Console'!$H$4)+('5 · Modern Console'!$H$4=""))*(DATASET!$G20&lt;&gt;""))&gt;0,1,0)</f>
        <v>0</v>
      </c>
      <c r="AV20" t="str">
        <f t="shared" si="36"/>
        <v/>
      </c>
      <c r="AW20" t="str">
        <f>IF(AU20=1,DATASET!$I20,"")</f>
        <v/>
      </c>
      <c r="AX20" t="str">
        <f>IF(((((DATASET!$C20='5 · Modern Console'!$B$4)+('5 · Modern Console'!$B$4=""))*(DATASET!$D20&lt;&gt;"")*(DATASET!$G20&lt;&gt;""))*(SUMPRODUCT((DATASET!$D$2:$D19=DATASET!$D20)*((DATASET!$C$2:$C19='5 · Modern Console'!$B$4)+('5 · Modern Console'!$B$4=""))*(DATASET!$D$2:$D19&lt;&gt;"")*(DATASET!$G$2:$G19&lt;&gt;""))=0))&gt;0,DATASET!$D20,"")</f>
        <v/>
      </c>
      <c r="AY20" t="str">
        <f t="shared" si="37"/>
        <v/>
      </c>
      <c r="AZ20" t="str">
        <f>IF(((((DATASET!$C20='5 · Modern Console'!$B$4)+('5 · Modern Console'!$B$4=""))*((DATASET!$D20='5 · Modern Console'!$D$4)+('5 · Modern Console'!$D$4=""))*(DATASET!$E20&lt;&gt;"")*(DATASET!$G20&lt;&gt;""))*(SUMPRODUCT((DATASET!$E$2:$E19=DATASET!$E20)*((DATASET!$C$2:$C19='5 · Modern Console'!$B$4)+('5 · Modern Console'!$B$4=""))*((DATASET!$D$2:$D19='5 · Modern Console'!$D$4)+('5 · Modern Console'!$D$4=""))*(DATASET!$E$2:$E19&lt;&gt;"")*(DATASET!$G$2:$G19&lt;&gt;""))=0))&gt;0,DATASET!$E20,"")</f>
        <v/>
      </c>
      <c r="BA20" t="str">
        <f t="shared" si="38"/>
        <v/>
      </c>
      <c r="BB20" t="str">
        <f>IF(((((DATASET!$C20='5 · Modern Console'!$B$4)+('5 · Modern Console'!$B$4=""))*((DATASET!$D20='5 · Modern Console'!$D$4)+('5 · Modern Console'!$D$4=""))*((DATASET!$E20='5 · Modern Console'!$F$4)+('5 · Modern Console'!$F$4=""))*(DATASET!$F20&lt;&gt;"")*(DATASET!$G20&lt;&gt;""))*(SUMPRODUCT((DATASET!$F$2:$F19=DATASET!$F20)*((DATASET!$C$2:$C19='5 · Modern Console'!$B$4)+('5 · Modern Console'!$B$4=""))*((DATASET!$D$2:$D19='5 · Modern Console'!$D$4)+('5 · Modern Console'!$D$4=""))*((DATASET!$E$2:$E19='5 · Modern Console'!$F$4)+('5 · Modern Console'!$F$4=""))*(DATASET!$F$2:$F19&lt;&gt;"")*(DATASET!$G$2:$G19&lt;&gt;""))=0))&gt;0,DATASET!$F20,"")</f>
        <v/>
      </c>
      <c r="BC20" t="str">
        <f t="shared" si="39"/>
        <v/>
      </c>
    </row>
    <row r="21" ht="15" customHeight="1">
      <c r="C21">
        <f>IF((((DATASET!$C21='1 · Executive View'!$B$6)+('1 · Executive View'!$B$6=""))*((DATASET!$D21='1 · Executive View'!$D$6)+('1 · Executive View'!$D$6=""))*((DATASET!$E21='1 · Executive View'!$F$6)+('1 · Executive View'!$F$6=""))*((DATASET!$F21='1 · Executive View'!$H$6)+('1 · Executive View'!$H$6=""))*(DATASET!$G21&lt;&gt;""))&gt;0,1,0)</f>
        <v>0</v>
      </c>
      <c r="D21" t="str">
        <f t="shared" si="20"/>
        <v/>
      </c>
      <c r="E21" t="str">
        <f>IF(C21=1,DATASET!$I21,"")</f>
        <v/>
      </c>
      <c r="F21" t="str">
        <f>IF(((((DATASET!$C21='1 · Executive View'!$B$6)+('1 · Executive View'!$B$6=""))*(DATASET!$D21&lt;&gt;"")*(DATASET!$G21&lt;&gt;""))*(SUMPRODUCT((DATASET!$D$2:$D20=DATASET!$D21)*((DATASET!$C$2:$C20='1 · Executive View'!$B$6)+('1 · Executive View'!$B$6=""))*(DATASET!$D$2:$D20&lt;&gt;"")*(DATASET!$G$2:$G20&lt;&gt;""))=0))&gt;0,DATASET!$D21,"")</f>
        <v/>
      </c>
      <c r="G21" t="str">
        <f t="shared" si="21"/>
        <v/>
      </c>
      <c r="H21" t="str">
        <f>IF(((((DATASET!$C21='1 · Executive View'!$B$6)+('1 · Executive View'!$B$6=""))*((DATASET!$D21='1 · Executive View'!$D$6)+('1 · Executive View'!$D$6=""))*(DATASET!$E21&lt;&gt;"")*(DATASET!$G21&lt;&gt;""))*(SUMPRODUCT((DATASET!$E$2:$E20=DATASET!$E21)*((DATASET!$C$2:$C20='1 · Executive View'!$B$6)+('1 · Executive View'!$B$6=""))*((DATASET!$D$2:$D20='1 · Executive View'!$D$6)+('1 · Executive View'!$D$6=""))*(DATASET!$E$2:$E20&lt;&gt;"")*(DATASET!$G$2:$G20&lt;&gt;""))=0))&gt;0,DATASET!$E21,"")</f>
        <v/>
      </c>
      <c r="I21" t="str">
        <f t="shared" si="22"/>
        <v/>
      </c>
      <c r="J21" t="str">
        <f>IF(((((DATASET!$C21='1 · Executive View'!$B$6)+('1 · Executive View'!$B$6=""))*((DATASET!$D21='1 · Executive View'!$D$6)+('1 · Executive View'!$D$6=""))*((DATASET!$E21='1 · Executive View'!$F$6)+('1 · Executive View'!$F$6=""))*(DATASET!$F21&lt;&gt;"")*(DATASET!$G21&lt;&gt;""))*(SUMPRODUCT((DATASET!$F$2:$F20=DATASET!$F21)*((DATASET!$C$2:$C20='1 · Executive View'!$B$6)+('1 · Executive View'!$B$6=""))*((DATASET!$D$2:$D20='1 · Executive View'!$D$6)+('1 · Executive View'!$D$6=""))*((DATASET!$E$2:$E20='1 · Executive View'!$F$6)+('1 · Executive View'!$F$6=""))*(DATASET!$F$2:$F20&lt;&gt;"")*(DATASET!$G$2:$G20&lt;&gt;""))=0))&gt;0,DATASET!$F21,"")</f>
        <v/>
      </c>
      <c r="K21" t="str">
        <f t="shared" si="23"/>
        <v/>
      </c>
      <c r="N21">
        <f>IF((((DATASET!$C21='2 · Sidebar Studio'!$B$7)+('2 · Sidebar Studio'!$B$7=""))*((DATASET!$D21='2 · Sidebar Studio'!$B$9)+('2 · Sidebar Studio'!$B$9=""))*((DATASET!$E21='2 · Sidebar Studio'!$B$11)+('2 · Sidebar Studio'!$B$11=""))*((DATASET!$F21='2 · Sidebar Studio'!$B$13)+('2 · Sidebar Studio'!$B$13=""))*(DATASET!$G21&lt;&gt;""))&gt;0,1,0)</f>
        <v>0</v>
      </c>
      <c r="O21" t="str">
        <f t="shared" si="24"/>
        <v/>
      </c>
      <c r="P21" t="str">
        <f>IF(N21=1,DATASET!$I21,"")</f>
        <v/>
      </c>
      <c r="Q21" t="str">
        <f>IF(((((DATASET!$C21='2 · Sidebar Studio'!$B$7)+('2 · Sidebar Studio'!$B$7=""))*(DATASET!$D21&lt;&gt;"")*(DATASET!$G21&lt;&gt;""))*(SUMPRODUCT((DATASET!$D$2:$D20=DATASET!$D21)*((DATASET!$C$2:$C20='2 · Sidebar Studio'!$B$7)+('2 · Sidebar Studio'!$B$7=""))*(DATASET!$D$2:$D20&lt;&gt;"")*(DATASET!$G$2:$G20&lt;&gt;""))=0))&gt;0,DATASET!$D21,"")</f>
        <v/>
      </c>
      <c r="R21" t="str">
        <f t="shared" si="25"/>
        <v/>
      </c>
      <c r="S21" t="str">
        <f>IF(((((DATASET!$C21='2 · Sidebar Studio'!$B$7)+('2 · Sidebar Studio'!$B$7=""))*((DATASET!$D21='2 · Sidebar Studio'!$B$9)+('2 · Sidebar Studio'!$B$9=""))*(DATASET!$E21&lt;&gt;"")*(DATASET!$G21&lt;&gt;""))*(SUMPRODUCT((DATASET!$E$2:$E20=DATASET!$E21)*((DATASET!$C$2:$C20='2 · Sidebar Studio'!$B$7)+('2 · Sidebar Studio'!$B$7=""))*((DATASET!$D$2:$D20='2 · Sidebar Studio'!$B$9)+('2 · Sidebar Studio'!$B$9=""))*(DATASET!$E$2:$E20&lt;&gt;"")*(DATASET!$G$2:$G20&lt;&gt;""))=0))&gt;0,DATASET!$E21,"")</f>
        <v/>
      </c>
      <c r="T21" t="str">
        <f t="shared" si="26"/>
        <v/>
      </c>
      <c r="U21" t="str">
        <f>IF(((((DATASET!$C21='2 · Sidebar Studio'!$B$7)+('2 · Sidebar Studio'!$B$7=""))*((DATASET!$D21='2 · Sidebar Studio'!$B$9)+('2 · Sidebar Studio'!$B$9=""))*((DATASET!$E21='2 · Sidebar Studio'!$B$11)+('2 · Sidebar Studio'!$B$11=""))*(DATASET!$F21&lt;&gt;"")*(DATASET!$G21&lt;&gt;""))*(SUMPRODUCT((DATASET!$F$2:$F20=DATASET!$F21)*((DATASET!$C$2:$C20='2 · Sidebar Studio'!$B$7)+('2 · Sidebar Studio'!$B$7=""))*((DATASET!$D$2:$D20='2 · Sidebar Studio'!$B$9)+('2 · Sidebar Studio'!$B$9=""))*((DATASET!$E$2:$E20='2 · Sidebar Studio'!$B$11)+('2 · Sidebar Studio'!$B$11=""))*(DATASET!$F$2:$F20&lt;&gt;"")*(DATASET!$G$2:$G20&lt;&gt;""))=0))&gt;0,DATASET!$F21,"")</f>
        <v/>
      </c>
      <c r="V21" t="str">
        <f t="shared" si="27"/>
        <v/>
      </c>
      <c r="Y21">
        <f>IF((((DATASET!$C21='3 · KPI Cards'!$B$9)+('3 · KPI Cards'!$B$9=""))*((DATASET!$D21='3 · KPI Cards'!$D$9)+('3 · KPI Cards'!$D$9=""))*((DATASET!$E21='3 · KPI Cards'!$F$9)+('3 · KPI Cards'!$F$9=""))*((DATASET!$F21='3 · KPI Cards'!$H$9)+('3 · KPI Cards'!$H$9=""))*(DATASET!$G21&lt;&gt;""))&gt;0,1,0)</f>
        <v>0</v>
      </c>
      <c r="Z21" t="str">
        <f t="shared" si="28"/>
        <v/>
      </c>
      <c r="AA21" t="str">
        <f>IF(Y21=1,DATASET!$I21,"")</f>
        <v/>
      </c>
      <c r="AB21" t="str">
        <f>IF(((((DATASET!$C21='3 · KPI Cards'!$B$9)+('3 · KPI Cards'!$B$9=""))*(DATASET!$D21&lt;&gt;"")*(DATASET!$G21&lt;&gt;""))*(SUMPRODUCT((DATASET!$D$2:$D20=DATASET!$D21)*((DATASET!$C$2:$C20='3 · KPI Cards'!$B$9)+('3 · KPI Cards'!$B$9=""))*(DATASET!$D$2:$D20&lt;&gt;"")*(DATASET!$G$2:$G20&lt;&gt;""))=0))&gt;0,DATASET!$D21,"")</f>
        <v/>
      </c>
      <c r="AC21" t="str">
        <f t="shared" si="29"/>
        <v/>
      </c>
      <c r="AD21" t="str">
        <f>IF(((((DATASET!$C21='3 · KPI Cards'!$B$9)+('3 · KPI Cards'!$B$9=""))*((DATASET!$D21='3 · KPI Cards'!$D$9)+('3 · KPI Cards'!$D$9=""))*(DATASET!$E21&lt;&gt;"")*(DATASET!$G21&lt;&gt;""))*(SUMPRODUCT((DATASET!$E$2:$E20=DATASET!$E21)*((DATASET!$C$2:$C20='3 · KPI Cards'!$B$9)+('3 · KPI Cards'!$B$9=""))*((DATASET!$D$2:$D20='3 · KPI Cards'!$D$9)+('3 · KPI Cards'!$D$9=""))*(DATASET!$E$2:$E20&lt;&gt;"")*(DATASET!$G$2:$G20&lt;&gt;""))=0))&gt;0,DATASET!$E21,"")</f>
        <v/>
      </c>
      <c r="AE21" t="str">
        <f t="shared" si="30"/>
        <v/>
      </c>
      <c r="AF21" t="str">
        <f>IF(((((DATASET!$C21='3 · KPI Cards'!$B$9)+('3 · KPI Cards'!$B$9=""))*((DATASET!$D21='3 · KPI Cards'!$D$9)+('3 · KPI Cards'!$D$9=""))*((DATASET!$E21='3 · KPI Cards'!$F$9)+('3 · KPI Cards'!$F$9=""))*(DATASET!$F21&lt;&gt;"")*(DATASET!$G21&lt;&gt;""))*(SUMPRODUCT((DATASET!$F$2:$F20=DATASET!$F21)*((DATASET!$C$2:$C20='3 · KPI Cards'!$B$9)+('3 · KPI Cards'!$B$9=""))*((DATASET!$D$2:$D20='3 · KPI Cards'!$D$9)+('3 · KPI Cards'!$D$9=""))*((DATASET!$E$2:$E20='3 · KPI Cards'!$F$9)+('3 · KPI Cards'!$F$9=""))*(DATASET!$F$2:$F20&lt;&gt;"")*(DATASET!$G$2:$G20&lt;&gt;""))=0))&gt;0,DATASET!$F21,"")</f>
        <v/>
      </c>
      <c r="AG21" t="str">
        <f t="shared" si="31"/>
        <v/>
      </c>
      <c r="AJ21">
        <f>IF((((DATASET!$C21='4 · Board Report'!$D$5)+('4 · Board Report'!$D$5=""))*((DATASET!$D21='4 · Board Report'!$D$6)+('4 · Board Report'!$D$6=""))*((DATASET!$E21='4 · Board Report'!$D$7)+('4 · Board Report'!$D$7=""))*((DATASET!$F21='4 · Board Report'!$D$8)+('4 · Board Report'!$D$8=""))*(DATASET!$G21&lt;&gt;""))&gt;0,1,0)</f>
        <v>0</v>
      </c>
      <c r="AK21" t="str">
        <f t="shared" si="32"/>
        <v/>
      </c>
      <c r="AL21" t="str">
        <f>IF(AJ21=1,DATASET!$I21,"")</f>
        <v/>
      </c>
      <c r="AM21" t="str">
        <f>IF(((((DATASET!$C21='4 · Board Report'!$D$5)+('4 · Board Report'!$D$5=""))*(DATASET!$D21&lt;&gt;"")*(DATASET!$G21&lt;&gt;""))*(SUMPRODUCT((DATASET!$D$2:$D20=DATASET!$D21)*((DATASET!$C$2:$C20='4 · Board Report'!$D$5)+('4 · Board Report'!$D$5=""))*(DATASET!$D$2:$D20&lt;&gt;"")*(DATASET!$G$2:$G20&lt;&gt;""))=0))&gt;0,DATASET!$D21,"")</f>
        <v/>
      </c>
      <c r="AN21" t="str">
        <f t="shared" si="33"/>
        <v/>
      </c>
      <c r="AO21" t="str">
        <f>IF(((((DATASET!$C21='4 · Board Report'!$D$5)+('4 · Board Report'!$D$5=""))*((DATASET!$D21='4 · Board Report'!$D$6)+('4 · Board Report'!$D$6=""))*(DATASET!$E21&lt;&gt;"")*(DATASET!$G21&lt;&gt;""))*(SUMPRODUCT((DATASET!$E$2:$E20=DATASET!$E21)*((DATASET!$C$2:$C20='4 · Board Report'!$D$5)+('4 · Board Report'!$D$5=""))*((DATASET!$D$2:$D20='4 · Board Report'!$D$6)+('4 · Board Report'!$D$6=""))*(DATASET!$E$2:$E20&lt;&gt;"")*(DATASET!$G$2:$G20&lt;&gt;""))=0))&gt;0,DATASET!$E21,"")</f>
        <v/>
      </c>
      <c r="AP21" t="str">
        <f t="shared" si="34"/>
        <v/>
      </c>
      <c r="AQ21" t="str">
        <f>IF(((((DATASET!$C21='4 · Board Report'!$D$5)+('4 · Board Report'!$D$5=""))*((DATASET!$D21='4 · Board Report'!$D$6)+('4 · Board Report'!$D$6=""))*((DATASET!$E21='4 · Board Report'!$D$7)+('4 · Board Report'!$D$7=""))*(DATASET!$F21&lt;&gt;"")*(DATASET!$G21&lt;&gt;""))*(SUMPRODUCT((DATASET!$F$2:$F20=DATASET!$F21)*((DATASET!$C$2:$C20='4 · Board Report'!$D$5)+('4 · Board Report'!$D$5=""))*((DATASET!$D$2:$D20='4 · Board Report'!$D$6)+('4 · Board Report'!$D$6=""))*((DATASET!$E$2:$E20='4 · Board Report'!$D$7)+('4 · Board Report'!$D$7=""))*(DATASET!$F$2:$F20&lt;&gt;"")*(DATASET!$G$2:$G20&lt;&gt;""))=0))&gt;0,DATASET!$F21,"")</f>
        <v/>
      </c>
      <c r="AR21" t="str">
        <f t="shared" si="35"/>
        <v/>
      </c>
      <c r="AU21">
        <f>IF((((DATASET!$C21='5 · Modern Console'!$B$4)+('5 · Modern Console'!$B$4=""))*((DATASET!$D21='5 · Modern Console'!$D$4)+('5 · Modern Console'!$D$4=""))*((DATASET!$E21='5 · Modern Console'!$F$4)+('5 · Modern Console'!$F$4=""))*((DATASET!$F21='5 · Modern Console'!$H$4)+('5 · Modern Console'!$H$4=""))*(DATASET!$G21&lt;&gt;""))&gt;0,1,0)</f>
        <v>0</v>
      </c>
      <c r="AV21" t="str">
        <f t="shared" si="36"/>
        <v/>
      </c>
      <c r="AW21" t="str">
        <f>IF(AU21=1,DATASET!$I21,"")</f>
        <v/>
      </c>
      <c r="AX21" t="str">
        <f>IF(((((DATASET!$C21='5 · Modern Console'!$B$4)+('5 · Modern Console'!$B$4=""))*(DATASET!$D21&lt;&gt;"")*(DATASET!$G21&lt;&gt;""))*(SUMPRODUCT((DATASET!$D$2:$D20=DATASET!$D21)*((DATASET!$C$2:$C20='5 · Modern Console'!$B$4)+('5 · Modern Console'!$B$4=""))*(DATASET!$D$2:$D20&lt;&gt;"")*(DATASET!$G$2:$G20&lt;&gt;""))=0))&gt;0,DATASET!$D21,"")</f>
        <v/>
      </c>
      <c r="AY21" t="str">
        <f t="shared" si="37"/>
        <v/>
      </c>
      <c r="AZ21" t="str">
        <f>IF(((((DATASET!$C21='5 · Modern Console'!$B$4)+('5 · Modern Console'!$B$4=""))*((DATASET!$D21='5 · Modern Console'!$D$4)+('5 · Modern Console'!$D$4=""))*(DATASET!$E21&lt;&gt;"")*(DATASET!$G21&lt;&gt;""))*(SUMPRODUCT((DATASET!$E$2:$E20=DATASET!$E21)*((DATASET!$C$2:$C20='5 · Modern Console'!$B$4)+('5 · Modern Console'!$B$4=""))*((DATASET!$D$2:$D20='5 · Modern Console'!$D$4)+('5 · Modern Console'!$D$4=""))*(DATASET!$E$2:$E20&lt;&gt;"")*(DATASET!$G$2:$G20&lt;&gt;""))=0))&gt;0,DATASET!$E21,"")</f>
        <v/>
      </c>
      <c r="BA21" t="str">
        <f t="shared" si="38"/>
        <v/>
      </c>
      <c r="BB21" t="str">
        <f>IF(((((DATASET!$C21='5 · Modern Console'!$B$4)+('5 · Modern Console'!$B$4=""))*((DATASET!$D21='5 · Modern Console'!$D$4)+('5 · Modern Console'!$D$4=""))*((DATASET!$E21='5 · Modern Console'!$F$4)+('5 · Modern Console'!$F$4=""))*(DATASET!$F21&lt;&gt;"")*(DATASET!$G21&lt;&gt;""))*(SUMPRODUCT((DATASET!$F$2:$F20=DATASET!$F21)*((DATASET!$C$2:$C20='5 · Modern Console'!$B$4)+('5 · Modern Console'!$B$4=""))*((DATASET!$D$2:$D20='5 · Modern Console'!$D$4)+('5 · Modern Console'!$D$4=""))*((DATASET!$E$2:$E20='5 · Modern Console'!$F$4)+('5 · Modern Console'!$F$4=""))*(DATASET!$F$2:$F20&lt;&gt;"")*(DATASET!$G$2:$G20&lt;&gt;""))=0))&gt;0,DATASET!$F21,"")</f>
        <v/>
      </c>
      <c r="BC21" t="str">
        <f t="shared" si="39"/>
        <v/>
      </c>
    </row>
    <row r="22" ht="15" customHeight="1">
      <c r="C22">
        <f>IF((((DATASET!$C22='1 · Executive View'!$B$6)+('1 · Executive View'!$B$6=""))*((DATASET!$D22='1 · Executive View'!$D$6)+('1 · Executive View'!$D$6=""))*((DATASET!$E22='1 · Executive View'!$F$6)+('1 · Executive View'!$F$6=""))*((DATASET!$F22='1 · Executive View'!$H$6)+('1 · Executive View'!$H$6=""))*(DATASET!$G22&lt;&gt;""))&gt;0,1,0)</f>
        <v>0</v>
      </c>
      <c r="D22" t="str">
        <f t="shared" si="20"/>
        <v/>
      </c>
      <c r="E22" t="str">
        <f>IF(C22=1,DATASET!$I22,"")</f>
        <v/>
      </c>
      <c r="F22" t="str">
        <f>IF(((((DATASET!$C22='1 · Executive View'!$B$6)+('1 · Executive View'!$B$6=""))*(DATASET!$D22&lt;&gt;"")*(DATASET!$G22&lt;&gt;""))*(SUMPRODUCT((DATASET!$D$2:$D21=DATASET!$D22)*((DATASET!$C$2:$C21='1 · Executive View'!$B$6)+('1 · Executive View'!$B$6=""))*(DATASET!$D$2:$D21&lt;&gt;"")*(DATASET!$G$2:$G21&lt;&gt;""))=0))&gt;0,DATASET!$D22,"")</f>
        <v/>
      </c>
      <c r="G22" t="str">
        <f t="shared" si="21"/>
        <v/>
      </c>
      <c r="H22" t="str">
        <f>IF(((((DATASET!$C22='1 · Executive View'!$B$6)+('1 · Executive View'!$B$6=""))*((DATASET!$D22='1 · Executive View'!$D$6)+('1 · Executive View'!$D$6=""))*(DATASET!$E22&lt;&gt;"")*(DATASET!$G22&lt;&gt;""))*(SUMPRODUCT((DATASET!$E$2:$E21=DATASET!$E22)*((DATASET!$C$2:$C21='1 · Executive View'!$B$6)+('1 · Executive View'!$B$6=""))*((DATASET!$D$2:$D21='1 · Executive View'!$D$6)+('1 · Executive View'!$D$6=""))*(DATASET!$E$2:$E21&lt;&gt;"")*(DATASET!$G$2:$G21&lt;&gt;""))=0))&gt;0,DATASET!$E22,"")</f>
        <v/>
      </c>
      <c r="I22" t="str">
        <f t="shared" si="22"/>
        <v/>
      </c>
      <c r="J22" t="str">
        <f>IF(((((DATASET!$C22='1 · Executive View'!$B$6)+('1 · Executive View'!$B$6=""))*((DATASET!$D22='1 · Executive View'!$D$6)+('1 · Executive View'!$D$6=""))*((DATASET!$E22='1 · Executive View'!$F$6)+('1 · Executive View'!$F$6=""))*(DATASET!$F22&lt;&gt;"")*(DATASET!$G22&lt;&gt;""))*(SUMPRODUCT((DATASET!$F$2:$F21=DATASET!$F22)*((DATASET!$C$2:$C21='1 · Executive View'!$B$6)+('1 · Executive View'!$B$6=""))*((DATASET!$D$2:$D21='1 · Executive View'!$D$6)+('1 · Executive View'!$D$6=""))*((DATASET!$E$2:$E21='1 · Executive View'!$F$6)+('1 · Executive View'!$F$6=""))*(DATASET!$F$2:$F21&lt;&gt;"")*(DATASET!$G$2:$G21&lt;&gt;""))=0))&gt;0,DATASET!$F22,"")</f>
        <v/>
      </c>
      <c r="K22" t="str">
        <f t="shared" si="23"/>
        <v/>
      </c>
      <c r="N22">
        <f>IF((((DATASET!$C22='2 · Sidebar Studio'!$B$7)+('2 · Sidebar Studio'!$B$7=""))*((DATASET!$D22='2 · Sidebar Studio'!$B$9)+('2 · Sidebar Studio'!$B$9=""))*((DATASET!$E22='2 · Sidebar Studio'!$B$11)+('2 · Sidebar Studio'!$B$11=""))*((DATASET!$F22='2 · Sidebar Studio'!$B$13)+('2 · Sidebar Studio'!$B$13=""))*(DATASET!$G22&lt;&gt;""))&gt;0,1,0)</f>
        <v>0</v>
      </c>
      <c r="O22" t="str">
        <f t="shared" si="24"/>
        <v/>
      </c>
      <c r="P22" t="str">
        <f>IF(N22=1,DATASET!$I22,"")</f>
        <v/>
      </c>
      <c r="Q22" t="str">
        <f>IF(((((DATASET!$C22='2 · Sidebar Studio'!$B$7)+('2 · Sidebar Studio'!$B$7=""))*(DATASET!$D22&lt;&gt;"")*(DATASET!$G22&lt;&gt;""))*(SUMPRODUCT((DATASET!$D$2:$D21=DATASET!$D22)*((DATASET!$C$2:$C21='2 · Sidebar Studio'!$B$7)+('2 · Sidebar Studio'!$B$7=""))*(DATASET!$D$2:$D21&lt;&gt;"")*(DATASET!$G$2:$G21&lt;&gt;""))=0))&gt;0,DATASET!$D22,"")</f>
        <v/>
      </c>
      <c r="R22" t="str">
        <f t="shared" si="25"/>
        <v/>
      </c>
      <c r="S22" t="str">
        <f>IF(((((DATASET!$C22='2 · Sidebar Studio'!$B$7)+('2 · Sidebar Studio'!$B$7=""))*((DATASET!$D22='2 · Sidebar Studio'!$B$9)+('2 · Sidebar Studio'!$B$9=""))*(DATASET!$E22&lt;&gt;"")*(DATASET!$G22&lt;&gt;""))*(SUMPRODUCT((DATASET!$E$2:$E21=DATASET!$E22)*((DATASET!$C$2:$C21='2 · Sidebar Studio'!$B$7)+('2 · Sidebar Studio'!$B$7=""))*((DATASET!$D$2:$D21='2 · Sidebar Studio'!$B$9)+('2 · Sidebar Studio'!$B$9=""))*(DATASET!$E$2:$E21&lt;&gt;"")*(DATASET!$G$2:$G21&lt;&gt;""))=0))&gt;0,DATASET!$E22,"")</f>
        <v/>
      </c>
      <c r="T22" t="str">
        <f t="shared" si="26"/>
        <v/>
      </c>
      <c r="U22" t="str">
        <f>IF(((((DATASET!$C22='2 · Sidebar Studio'!$B$7)+('2 · Sidebar Studio'!$B$7=""))*((DATASET!$D22='2 · Sidebar Studio'!$B$9)+('2 · Sidebar Studio'!$B$9=""))*((DATASET!$E22='2 · Sidebar Studio'!$B$11)+('2 · Sidebar Studio'!$B$11=""))*(DATASET!$F22&lt;&gt;"")*(DATASET!$G22&lt;&gt;""))*(SUMPRODUCT((DATASET!$F$2:$F21=DATASET!$F22)*((DATASET!$C$2:$C21='2 · Sidebar Studio'!$B$7)+('2 · Sidebar Studio'!$B$7=""))*((DATASET!$D$2:$D21='2 · Sidebar Studio'!$B$9)+('2 · Sidebar Studio'!$B$9=""))*((DATASET!$E$2:$E21='2 · Sidebar Studio'!$B$11)+('2 · Sidebar Studio'!$B$11=""))*(DATASET!$F$2:$F21&lt;&gt;"")*(DATASET!$G$2:$G21&lt;&gt;""))=0))&gt;0,DATASET!$F22,"")</f>
        <v/>
      </c>
      <c r="V22" t="str">
        <f t="shared" si="27"/>
        <v/>
      </c>
      <c r="Y22">
        <f>IF((((DATASET!$C22='3 · KPI Cards'!$B$9)+('3 · KPI Cards'!$B$9=""))*((DATASET!$D22='3 · KPI Cards'!$D$9)+('3 · KPI Cards'!$D$9=""))*((DATASET!$E22='3 · KPI Cards'!$F$9)+('3 · KPI Cards'!$F$9=""))*((DATASET!$F22='3 · KPI Cards'!$H$9)+('3 · KPI Cards'!$H$9=""))*(DATASET!$G22&lt;&gt;""))&gt;0,1,0)</f>
        <v>0</v>
      </c>
      <c r="Z22" t="str">
        <f t="shared" si="28"/>
        <v/>
      </c>
      <c r="AA22" t="str">
        <f>IF(Y22=1,DATASET!$I22,"")</f>
        <v/>
      </c>
      <c r="AB22" t="str">
        <f>IF(((((DATASET!$C22='3 · KPI Cards'!$B$9)+('3 · KPI Cards'!$B$9=""))*(DATASET!$D22&lt;&gt;"")*(DATASET!$G22&lt;&gt;""))*(SUMPRODUCT((DATASET!$D$2:$D21=DATASET!$D22)*((DATASET!$C$2:$C21='3 · KPI Cards'!$B$9)+('3 · KPI Cards'!$B$9=""))*(DATASET!$D$2:$D21&lt;&gt;"")*(DATASET!$G$2:$G21&lt;&gt;""))=0))&gt;0,DATASET!$D22,"")</f>
        <v/>
      </c>
      <c r="AC22" t="str">
        <f t="shared" si="29"/>
        <v/>
      </c>
      <c r="AD22" t="str">
        <f>IF(((((DATASET!$C22='3 · KPI Cards'!$B$9)+('3 · KPI Cards'!$B$9=""))*((DATASET!$D22='3 · KPI Cards'!$D$9)+('3 · KPI Cards'!$D$9=""))*(DATASET!$E22&lt;&gt;"")*(DATASET!$G22&lt;&gt;""))*(SUMPRODUCT((DATASET!$E$2:$E21=DATASET!$E22)*((DATASET!$C$2:$C21='3 · KPI Cards'!$B$9)+('3 · KPI Cards'!$B$9=""))*((DATASET!$D$2:$D21='3 · KPI Cards'!$D$9)+('3 · KPI Cards'!$D$9=""))*(DATASET!$E$2:$E21&lt;&gt;"")*(DATASET!$G$2:$G21&lt;&gt;""))=0))&gt;0,DATASET!$E22,"")</f>
        <v/>
      </c>
      <c r="AE22" t="str">
        <f t="shared" si="30"/>
        <v/>
      </c>
      <c r="AF22" t="str">
        <f>IF(((((DATASET!$C22='3 · KPI Cards'!$B$9)+('3 · KPI Cards'!$B$9=""))*((DATASET!$D22='3 · KPI Cards'!$D$9)+('3 · KPI Cards'!$D$9=""))*((DATASET!$E22='3 · KPI Cards'!$F$9)+('3 · KPI Cards'!$F$9=""))*(DATASET!$F22&lt;&gt;"")*(DATASET!$G22&lt;&gt;""))*(SUMPRODUCT((DATASET!$F$2:$F21=DATASET!$F22)*((DATASET!$C$2:$C21='3 · KPI Cards'!$B$9)+('3 · KPI Cards'!$B$9=""))*((DATASET!$D$2:$D21='3 · KPI Cards'!$D$9)+('3 · KPI Cards'!$D$9=""))*((DATASET!$E$2:$E21='3 · KPI Cards'!$F$9)+('3 · KPI Cards'!$F$9=""))*(DATASET!$F$2:$F21&lt;&gt;"")*(DATASET!$G$2:$G21&lt;&gt;""))=0))&gt;0,DATASET!$F22,"")</f>
        <v/>
      </c>
      <c r="AG22" t="str">
        <f t="shared" si="31"/>
        <v/>
      </c>
      <c r="AJ22">
        <f>IF((((DATASET!$C22='4 · Board Report'!$D$5)+('4 · Board Report'!$D$5=""))*((DATASET!$D22='4 · Board Report'!$D$6)+('4 · Board Report'!$D$6=""))*((DATASET!$E22='4 · Board Report'!$D$7)+('4 · Board Report'!$D$7=""))*((DATASET!$F22='4 · Board Report'!$D$8)+('4 · Board Report'!$D$8=""))*(DATASET!$G22&lt;&gt;""))&gt;0,1,0)</f>
        <v>0</v>
      </c>
      <c r="AK22" t="str">
        <f t="shared" si="32"/>
        <v/>
      </c>
      <c r="AL22" t="str">
        <f>IF(AJ22=1,DATASET!$I22,"")</f>
        <v/>
      </c>
      <c r="AM22" t="str">
        <f>IF(((((DATASET!$C22='4 · Board Report'!$D$5)+('4 · Board Report'!$D$5=""))*(DATASET!$D22&lt;&gt;"")*(DATASET!$G22&lt;&gt;""))*(SUMPRODUCT((DATASET!$D$2:$D21=DATASET!$D22)*((DATASET!$C$2:$C21='4 · Board Report'!$D$5)+('4 · Board Report'!$D$5=""))*(DATASET!$D$2:$D21&lt;&gt;"")*(DATASET!$G$2:$G21&lt;&gt;""))=0))&gt;0,DATASET!$D22,"")</f>
        <v/>
      </c>
      <c r="AN22" t="str">
        <f t="shared" si="33"/>
        <v/>
      </c>
      <c r="AO22" t="str">
        <f>IF(((((DATASET!$C22='4 · Board Report'!$D$5)+('4 · Board Report'!$D$5=""))*((DATASET!$D22='4 · Board Report'!$D$6)+('4 · Board Report'!$D$6=""))*(DATASET!$E22&lt;&gt;"")*(DATASET!$G22&lt;&gt;""))*(SUMPRODUCT((DATASET!$E$2:$E21=DATASET!$E22)*((DATASET!$C$2:$C21='4 · Board Report'!$D$5)+('4 · Board Report'!$D$5=""))*((DATASET!$D$2:$D21='4 · Board Report'!$D$6)+('4 · Board Report'!$D$6=""))*(DATASET!$E$2:$E21&lt;&gt;"")*(DATASET!$G$2:$G21&lt;&gt;""))=0))&gt;0,DATASET!$E22,"")</f>
        <v/>
      </c>
      <c r="AP22" t="str">
        <f t="shared" si="34"/>
        <v/>
      </c>
      <c r="AQ22" t="str">
        <f>IF(((((DATASET!$C22='4 · Board Report'!$D$5)+('4 · Board Report'!$D$5=""))*((DATASET!$D22='4 · Board Report'!$D$6)+('4 · Board Report'!$D$6=""))*((DATASET!$E22='4 · Board Report'!$D$7)+('4 · Board Report'!$D$7=""))*(DATASET!$F22&lt;&gt;"")*(DATASET!$G22&lt;&gt;""))*(SUMPRODUCT((DATASET!$F$2:$F21=DATASET!$F22)*((DATASET!$C$2:$C21='4 · Board Report'!$D$5)+('4 · Board Report'!$D$5=""))*((DATASET!$D$2:$D21='4 · Board Report'!$D$6)+('4 · Board Report'!$D$6=""))*((DATASET!$E$2:$E21='4 · Board Report'!$D$7)+('4 · Board Report'!$D$7=""))*(DATASET!$F$2:$F21&lt;&gt;"")*(DATASET!$G$2:$G21&lt;&gt;""))=0))&gt;0,DATASET!$F22,"")</f>
        <v/>
      </c>
      <c r="AR22" t="str">
        <f t="shared" si="35"/>
        <v/>
      </c>
      <c r="AU22">
        <f>IF((((DATASET!$C22='5 · Modern Console'!$B$4)+('5 · Modern Console'!$B$4=""))*((DATASET!$D22='5 · Modern Console'!$D$4)+('5 · Modern Console'!$D$4=""))*((DATASET!$E22='5 · Modern Console'!$F$4)+('5 · Modern Console'!$F$4=""))*((DATASET!$F22='5 · Modern Console'!$H$4)+('5 · Modern Console'!$H$4=""))*(DATASET!$G22&lt;&gt;""))&gt;0,1,0)</f>
        <v>0</v>
      </c>
      <c r="AV22" t="str">
        <f t="shared" si="36"/>
        <v/>
      </c>
      <c r="AW22" t="str">
        <f>IF(AU22=1,DATASET!$I22,"")</f>
        <v/>
      </c>
      <c r="AX22" t="str">
        <f>IF(((((DATASET!$C22='5 · Modern Console'!$B$4)+('5 · Modern Console'!$B$4=""))*(DATASET!$D22&lt;&gt;"")*(DATASET!$G22&lt;&gt;""))*(SUMPRODUCT((DATASET!$D$2:$D21=DATASET!$D22)*((DATASET!$C$2:$C21='5 · Modern Console'!$B$4)+('5 · Modern Console'!$B$4=""))*(DATASET!$D$2:$D21&lt;&gt;"")*(DATASET!$G$2:$G21&lt;&gt;""))=0))&gt;0,DATASET!$D22,"")</f>
        <v/>
      </c>
      <c r="AY22" t="str">
        <f t="shared" si="37"/>
        <v/>
      </c>
      <c r="AZ22" t="str">
        <f>IF(((((DATASET!$C22='5 · Modern Console'!$B$4)+('5 · Modern Console'!$B$4=""))*((DATASET!$D22='5 · Modern Console'!$D$4)+('5 · Modern Console'!$D$4=""))*(DATASET!$E22&lt;&gt;"")*(DATASET!$G22&lt;&gt;""))*(SUMPRODUCT((DATASET!$E$2:$E21=DATASET!$E22)*((DATASET!$C$2:$C21='5 · Modern Console'!$B$4)+('5 · Modern Console'!$B$4=""))*((DATASET!$D$2:$D21='5 · Modern Console'!$D$4)+('5 · Modern Console'!$D$4=""))*(DATASET!$E$2:$E21&lt;&gt;"")*(DATASET!$G$2:$G21&lt;&gt;""))=0))&gt;0,DATASET!$E22,"")</f>
        <v/>
      </c>
      <c r="BA22" t="str">
        <f t="shared" si="38"/>
        <v/>
      </c>
      <c r="BB22" t="str">
        <f>IF(((((DATASET!$C22='5 · Modern Console'!$B$4)+('5 · Modern Console'!$B$4=""))*((DATASET!$D22='5 · Modern Console'!$D$4)+('5 · Modern Console'!$D$4=""))*((DATASET!$E22='5 · Modern Console'!$F$4)+('5 · Modern Console'!$F$4=""))*(DATASET!$F22&lt;&gt;"")*(DATASET!$G22&lt;&gt;""))*(SUMPRODUCT((DATASET!$F$2:$F21=DATASET!$F22)*((DATASET!$C$2:$C21='5 · Modern Console'!$B$4)+('5 · Modern Console'!$B$4=""))*((DATASET!$D$2:$D21='5 · Modern Console'!$D$4)+('5 · Modern Console'!$D$4=""))*((DATASET!$E$2:$E21='5 · Modern Console'!$F$4)+('5 · Modern Console'!$F$4=""))*(DATASET!$F$2:$F21&lt;&gt;"")*(DATASET!$G$2:$G21&lt;&gt;""))=0))&gt;0,DATASET!$F22,"")</f>
        <v/>
      </c>
      <c r="BC22" t="str">
        <f t="shared" si="39"/>
        <v/>
      </c>
    </row>
    <row r="23" ht="15" customHeight="1">
      <c r="C23">
        <f>IF((((DATASET!$C23='1 · Executive View'!$B$6)+('1 · Executive View'!$B$6=""))*((DATASET!$D23='1 · Executive View'!$D$6)+('1 · Executive View'!$D$6=""))*((DATASET!$E23='1 · Executive View'!$F$6)+('1 · Executive View'!$F$6=""))*((DATASET!$F23='1 · Executive View'!$H$6)+('1 · Executive View'!$H$6=""))*(DATASET!$G23&lt;&gt;""))&gt;0,1,0)</f>
        <v>1</v>
      </c>
      <c r="D23">
        <f t="shared" si="20"/>
        <v>1</v>
      </c>
      <c r="E23" s="103">
        <f>IF(C23=1,DATASET!$I23,"")</f>
        <v>19457205.629999999</v>
      </c>
      <c r="F23" t="str">
        <f>IF(((((DATASET!$C23='1 · Executive View'!$B$6)+('1 · Executive View'!$B$6=""))*(DATASET!$D23&lt;&gt;"")*(DATASET!$G23&lt;&gt;""))*(SUMPRODUCT((DATASET!$D$2:$D22=DATASET!$D23)*((DATASET!$C$2:$C22='1 · Executive View'!$B$6)+('1 · Executive View'!$B$6=""))*(DATASET!$D$2:$D22&lt;&gt;"")*(DATASET!$G$2:$G22&lt;&gt;""))=0))&gt;0,DATASET!$D23,"")</f>
        <v xml:space="preserve">C.II) Crediti</v>
      </c>
      <c r="G23">
        <f t="shared" si="21"/>
        <v>1</v>
      </c>
      <c r="H23" t="str">
        <f>IF(((((DATASET!$C23='1 · Executive View'!$B$6)+('1 · Executive View'!$B$6=""))*((DATASET!$D23='1 · Executive View'!$D$6)+('1 · Executive View'!$D$6=""))*(DATASET!$E23&lt;&gt;"")*(DATASET!$G23&lt;&gt;""))*(SUMPRODUCT((DATASET!$E$2:$E22=DATASET!$E23)*((DATASET!$C$2:$C22='1 · Executive View'!$B$6)+('1 · Executive View'!$B$6=""))*((DATASET!$D$2:$D22='1 · Executive View'!$D$6)+('1 · Executive View'!$D$6=""))*(DATASET!$E$2:$E22&lt;&gt;"")*(DATASET!$G$2:$G22&lt;&gt;""))=0))&gt;0,DATASET!$E23,"")</f>
        <v xml:space="preserve">2) Verso imprese controllate</v>
      </c>
      <c r="I23">
        <f t="shared" si="22"/>
        <v>1</v>
      </c>
      <c r="J23" t="str">
        <f>IF(((((DATASET!$C23='1 · Executive View'!$B$6)+('1 · Executive View'!$B$6=""))*((DATASET!$D23='1 · Executive View'!$D$6)+('1 · Executive View'!$D$6=""))*((DATASET!$E23='1 · Executive View'!$F$6)+('1 · Executive View'!$F$6=""))*(DATASET!$F23&lt;&gt;"")*(DATASET!$G23&lt;&gt;""))*(SUMPRODUCT((DATASET!$F$2:$F22=DATASET!$F23)*((DATASET!$C$2:$C22='1 · Executive View'!$B$6)+('1 · Executive View'!$B$6=""))*((DATASET!$D$2:$D22='1 · Executive View'!$D$6)+('1 · Executive View'!$D$6=""))*((DATASET!$E$2:$E22='1 · Executive View'!$F$6)+('1 · Executive View'!$F$6=""))*(DATASET!$F$2:$F22&lt;&gt;"")*(DATASET!$G$2:$G22&lt;&gt;""))=0))&gt;0,DATASET!$F23,"")</f>
        <v/>
      </c>
      <c r="K23" t="str">
        <f t="shared" si="23"/>
        <v/>
      </c>
      <c r="N23">
        <f>IF((((DATASET!$C23='2 · Sidebar Studio'!$B$7)+('2 · Sidebar Studio'!$B$7=""))*((DATASET!$D23='2 · Sidebar Studio'!$B$9)+('2 · Sidebar Studio'!$B$9=""))*((DATASET!$E23='2 · Sidebar Studio'!$B$11)+('2 · Sidebar Studio'!$B$11=""))*((DATASET!$F23='2 · Sidebar Studio'!$B$13)+('2 · Sidebar Studio'!$B$13=""))*(DATASET!$G23&lt;&gt;""))&gt;0,1,0)</f>
        <v>1</v>
      </c>
      <c r="O23">
        <f t="shared" si="24"/>
        <v>19</v>
      </c>
      <c r="P23" s="103">
        <f>IF(N23=1,DATASET!$I23,"")</f>
        <v>19457205.629999999</v>
      </c>
      <c r="Q23" t="str">
        <f>IF(((((DATASET!$C23='2 · Sidebar Studio'!$B$7)+('2 · Sidebar Studio'!$B$7=""))*(DATASET!$D23&lt;&gt;"")*(DATASET!$G23&lt;&gt;""))*(SUMPRODUCT((DATASET!$D$2:$D22=DATASET!$D23)*((DATASET!$C$2:$C22='2 · Sidebar Studio'!$B$7)+('2 · Sidebar Studio'!$B$7=""))*(DATASET!$D$2:$D22&lt;&gt;"")*(DATASET!$G$2:$G22&lt;&gt;""))=0))&gt;0,DATASET!$D23,"")</f>
        <v xml:space="preserve">C.II) Crediti</v>
      </c>
      <c r="R23">
        <f t="shared" si="25"/>
        <v>8</v>
      </c>
      <c r="S23" t="str">
        <f>IF(((((DATASET!$C23='2 · Sidebar Studio'!$B$7)+('2 · Sidebar Studio'!$B$7=""))*((DATASET!$D23='2 · Sidebar Studio'!$B$9)+('2 · Sidebar Studio'!$B$9=""))*(DATASET!$E23&lt;&gt;"")*(DATASET!$G23&lt;&gt;""))*(SUMPRODUCT((DATASET!$E$2:$E22=DATASET!$E23)*((DATASET!$C$2:$C22='2 · Sidebar Studio'!$B$7)+('2 · Sidebar Studio'!$B$7=""))*((DATASET!$D$2:$D22='2 · Sidebar Studio'!$B$9)+('2 · Sidebar Studio'!$B$9=""))*(DATASET!$E$2:$E22&lt;&gt;"")*(DATASET!$G$2:$G22&lt;&gt;""))=0))&gt;0,DATASET!$E23,"")</f>
        <v xml:space="preserve">2) Verso imprese controllate</v>
      </c>
      <c r="T23">
        <f t="shared" si="26"/>
        <v>2</v>
      </c>
      <c r="U23" t="str">
        <f>IF(((((DATASET!$C23='2 · Sidebar Studio'!$B$7)+('2 · Sidebar Studio'!$B$7=""))*((DATASET!$D23='2 · Sidebar Studio'!$B$9)+('2 · Sidebar Studio'!$B$9=""))*((DATASET!$E23='2 · Sidebar Studio'!$B$11)+('2 · Sidebar Studio'!$B$11=""))*(DATASET!$F23&lt;&gt;"")*(DATASET!$G23&lt;&gt;""))*(SUMPRODUCT((DATASET!$F$2:$F22=DATASET!$F23)*((DATASET!$C$2:$C22='2 · Sidebar Studio'!$B$7)+('2 · Sidebar Studio'!$B$7=""))*((DATASET!$D$2:$D22='2 · Sidebar Studio'!$B$9)+('2 · Sidebar Studio'!$B$9=""))*((DATASET!$E$2:$E22='2 · Sidebar Studio'!$B$11)+('2 · Sidebar Studio'!$B$11=""))*(DATASET!$F$2:$F22&lt;&gt;"")*(DATASET!$G$2:$G22&lt;&gt;""))=0))&gt;0,DATASET!$F23,"")</f>
        <v/>
      </c>
      <c r="V23" t="str">
        <f t="shared" si="27"/>
        <v/>
      </c>
      <c r="Y23">
        <f>IF((((DATASET!$C23='3 · KPI Cards'!$B$9)+('3 · KPI Cards'!$B$9=""))*((DATASET!$D23='3 · KPI Cards'!$D$9)+('3 · KPI Cards'!$D$9=""))*((DATASET!$E23='3 · KPI Cards'!$F$9)+('3 · KPI Cards'!$F$9=""))*((DATASET!$F23='3 · KPI Cards'!$H$9)+('3 · KPI Cards'!$H$9=""))*(DATASET!$G23&lt;&gt;""))&gt;0,1,0)</f>
        <v>1</v>
      </c>
      <c r="Z23">
        <f t="shared" si="28"/>
        <v>19</v>
      </c>
      <c r="AA23" s="103">
        <f>IF(Y23=1,DATASET!$I23,"")</f>
        <v>19457205.629999999</v>
      </c>
      <c r="AB23" t="str">
        <f>IF(((((DATASET!$C23='3 · KPI Cards'!$B$9)+('3 · KPI Cards'!$B$9=""))*(DATASET!$D23&lt;&gt;"")*(DATASET!$G23&lt;&gt;""))*(SUMPRODUCT((DATASET!$D$2:$D22=DATASET!$D23)*((DATASET!$C$2:$C22='3 · KPI Cards'!$B$9)+('3 · KPI Cards'!$B$9=""))*(DATASET!$D$2:$D22&lt;&gt;"")*(DATASET!$G$2:$G22&lt;&gt;""))=0))&gt;0,DATASET!$D23,"")</f>
        <v xml:space="preserve">C.II) Crediti</v>
      </c>
      <c r="AC23">
        <f t="shared" si="29"/>
        <v>8</v>
      </c>
      <c r="AD23" t="str">
        <f>IF(((((DATASET!$C23='3 · KPI Cards'!$B$9)+('3 · KPI Cards'!$B$9=""))*((DATASET!$D23='3 · KPI Cards'!$D$9)+('3 · KPI Cards'!$D$9=""))*(DATASET!$E23&lt;&gt;"")*(DATASET!$G23&lt;&gt;""))*(SUMPRODUCT((DATASET!$E$2:$E22=DATASET!$E23)*((DATASET!$C$2:$C22='3 · KPI Cards'!$B$9)+('3 · KPI Cards'!$B$9=""))*((DATASET!$D$2:$D22='3 · KPI Cards'!$D$9)+('3 · KPI Cards'!$D$9=""))*(DATASET!$E$2:$E22&lt;&gt;"")*(DATASET!$G$2:$G22&lt;&gt;""))=0))&gt;0,DATASET!$E23,"")</f>
        <v xml:space="preserve">2) Verso imprese controllate</v>
      </c>
      <c r="AE23">
        <f t="shared" si="30"/>
        <v>2</v>
      </c>
      <c r="AF23" t="str">
        <f>IF(((((DATASET!$C23='3 · KPI Cards'!$B$9)+('3 · KPI Cards'!$B$9=""))*((DATASET!$D23='3 · KPI Cards'!$D$9)+('3 · KPI Cards'!$D$9=""))*((DATASET!$E23='3 · KPI Cards'!$F$9)+('3 · KPI Cards'!$F$9=""))*(DATASET!$F23&lt;&gt;"")*(DATASET!$G23&lt;&gt;""))*(SUMPRODUCT((DATASET!$F$2:$F22=DATASET!$F23)*((DATASET!$C$2:$C22='3 · KPI Cards'!$B$9)+('3 · KPI Cards'!$B$9=""))*((DATASET!$D$2:$D22='3 · KPI Cards'!$D$9)+('3 · KPI Cards'!$D$9=""))*((DATASET!$E$2:$E22='3 · KPI Cards'!$F$9)+('3 · KPI Cards'!$F$9=""))*(DATASET!$F$2:$F22&lt;&gt;"")*(DATASET!$G$2:$G22&lt;&gt;""))=0))&gt;0,DATASET!$F23,"")</f>
        <v/>
      </c>
      <c r="AG23" t="str">
        <f t="shared" si="31"/>
        <v/>
      </c>
      <c r="AJ23">
        <f>IF((((DATASET!$C23='4 · Board Report'!$D$5)+('4 · Board Report'!$D$5=""))*((DATASET!$D23='4 · Board Report'!$D$6)+('4 · Board Report'!$D$6=""))*((DATASET!$E23='4 · Board Report'!$D$7)+('4 · Board Report'!$D$7=""))*((DATASET!$F23='4 · Board Report'!$D$8)+('4 · Board Report'!$D$8=""))*(DATASET!$G23&lt;&gt;""))&gt;0,1,0)</f>
        <v>1</v>
      </c>
      <c r="AK23">
        <f t="shared" si="32"/>
        <v>1</v>
      </c>
      <c r="AL23" s="103">
        <f>IF(AJ23=1,DATASET!$I23,"")</f>
        <v>19457205.629999999</v>
      </c>
      <c r="AM23" t="str">
        <f>IF(((((DATASET!$C23='4 · Board Report'!$D$5)+('4 · Board Report'!$D$5=""))*(DATASET!$D23&lt;&gt;"")*(DATASET!$G23&lt;&gt;""))*(SUMPRODUCT((DATASET!$D$2:$D22=DATASET!$D23)*((DATASET!$C$2:$C22='4 · Board Report'!$D$5)+('4 · Board Report'!$D$5=""))*(DATASET!$D$2:$D22&lt;&gt;"")*(DATASET!$G$2:$G22&lt;&gt;""))=0))&gt;0,DATASET!$D23,"")</f>
        <v xml:space="preserve">C.II) Crediti</v>
      </c>
      <c r="AN23">
        <f t="shared" si="33"/>
        <v>1</v>
      </c>
      <c r="AO23" t="str">
        <f>IF(((((DATASET!$C23='4 · Board Report'!$D$5)+('4 · Board Report'!$D$5=""))*((DATASET!$D23='4 · Board Report'!$D$6)+('4 · Board Report'!$D$6=""))*(DATASET!$E23&lt;&gt;"")*(DATASET!$G23&lt;&gt;""))*(SUMPRODUCT((DATASET!$E$2:$E22=DATASET!$E23)*((DATASET!$C$2:$C22='4 · Board Report'!$D$5)+('4 · Board Report'!$D$5=""))*((DATASET!$D$2:$D22='4 · Board Report'!$D$6)+('4 · Board Report'!$D$6=""))*(DATASET!$E$2:$E22&lt;&gt;"")*(DATASET!$G$2:$G22&lt;&gt;""))=0))&gt;0,DATASET!$E23,"")</f>
        <v xml:space="preserve">2) Verso imprese controllate</v>
      </c>
      <c r="AP23">
        <f t="shared" si="34"/>
        <v>1</v>
      </c>
      <c r="AQ23" t="str">
        <f>IF(((((DATASET!$C23='4 · Board Report'!$D$5)+('4 · Board Report'!$D$5=""))*((DATASET!$D23='4 · Board Report'!$D$6)+('4 · Board Report'!$D$6=""))*((DATASET!$E23='4 · Board Report'!$D$7)+('4 · Board Report'!$D$7=""))*(DATASET!$F23&lt;&gt;"")*(DATASET!$G23&lt;&gt;""))*(SUMPRODUCT((DATASET!$F$2:$F22=DATASET!$F23)*((DATASET!$C$2:$C22='4 · Board Report'!$D$5)+('4 · Board Report'!$D$5=""))*((DATASET!$D$2:$D22='4 · Board Report'!$D$6)+('4 · Board Report'!$D$6=""))*((DATASET!$E$2:$E22='4 · Board Report'!$D$7)+('4 · Board Report'!$D$7=""))*(DATASET!$F$2:$F22&lt;&gt;"")*(DATASET!$G$2:$G22&lt;&gt;""))=0))&gt;0,DATASET!$F23,"")</f>
        <v/>
      </c>
      <c r="AR23" t="str">
        <f t="shared" si="35"/>
        <v/>
      </c>
      <c r="AU23">
        <f>IF((((DATASET!$C23='5 · Modern Console'!$B$4)+('5 · Modern Console'!$B$4=""))*((DATASET!$D23='5 · Modern Console'!$D$4)+('5 · Modern Console'!$D$4=""))*((DATASET!$E23='5 · Modern Console'!$F$4)+('5 · Modern Console'!$F$4=""))*((DATASET!$F23='5 · Modern Console'!$H$4)+('5 · Modern Console'!$H$4=""))*(DATASET!$G23&lt;&gt;""))&gt;0,1,0)</f>
        <v>1</v>
      </c>
      <c r="AV23">
        <f t="shared" si="36"/>
        <v>19</v>
      </c>
      <c r="AW23" s="103">
        <f>IF(AU23=1,DATASET!$I23,"")</f>
        <v>19457205.629999999</v>
      </c>
      <c r="AX23" t="str">
        <f>IF(((((DATASET!$C23='5 · Modern Console'!$B$4)+('5 · Modern Console'!$B$4=""))*(DATASET!$D23&lt;&gt;"")*(DATASET!$G23&lt;&gt;""))*(SUMPRODUCT((DATASET!$D$2:$D22=DATASET!$D23)*((DATASET!$C$2:$C22='5 · Modern Console'!$B$4)+('5 · Modern Console'!$B$4=""))*(DATASET!$D$2:$D22&lt;&gt;"")*(DATASET!$G$2:$G22&lt;&gt;""))=0))&gt;0,DATASET!$D23,"")</f>
        <v xml:space="preserve">C.II) Crediti</v>
      </c>
      <c r="AY23">
        <f t="shared" si="37"/>
        <v>8</v>
      </c>
      <c r="AZ23" t="str">
        <f>IF(((((DATASET!$C23='5 · Modern Console'!$B$4)+('5 · Modern Console'!$B$4=""))*((DATASET!$D23='5 · Modern Console'!$D$4)+('5 · Modern Console'!$D$4=""))*(DATASET!$E23&lt;&gt;"")*(DATASET!$G23&lt;&gt;""))*(SUMPRODUCT((DATASET!$E$2:$E22=DATASET!$E23)*((DATASET!$C$2:$C22='5 · Modern Console'!$B$4)+('5 · Modern Console'!$B$4=""))*((DATASET!$D$2:$D22='5 · Modern Console'!$D$4)+('5 · Modern Console'!$D$4=""))*(DATASET!$E$2:$E22&lt;&gt;"")*(DATASET!$G$2:$G22&lt;&gt;""))=0))&gt;0,DATASET!$E23,"")</f>
        <v xml:space="preserve">2) Verso imprese controllate</v>
      </c>
      <c r="BA23">
        <f t="shared" si="38"/>
        <v>2</v>
      </c>
      <c r="BB23" t="str">
        <f>IF(((((DATASET!$C23='5 · Modern Console'!$B$4)+('5 · Modern Console'!$B$4=""))*((DATASET!$D23='5 · Modern Console'!$D$4)+('5 · Modern Console'!$D$4=""))*((DATASET!$E23='5 · Modern Console'!$F$4)+('5 · Modern Console'!$F$4=""))*(DATASET!$F23&lt;&gt;"")*(DATASET!$G23&lt;&gt;""))*(SUMPRODUCT((DATASET!$F$2:$F22=DATASET!$F23)*((DATASET!$C$2:$C22='5 · Modern Console'!$B$4)+('5 · Modern Console'!$B$4=""))*((DATASET!$D$2:$D22='5 · Modern Console'!$D$4)+('5 · Modern Console'!$D$4=""))*((DATASET!$E$2:$E22='5 · Modern Console'!$F$4)+('5 · Modern Console'!$F$4=""))*(DATASET!$F$2:$F22&lt;&gt;"")*(DATASET!$G$2:$G22&lt;&gt;""))=0))&gt;0,DATASET!$F23,"")</f>
        <v/>
      </c>
      <c r="BC23" t="str">
        <f t="shared" si="39"/>
        <v/>
      </c>
    </row>
    <row r="24" ht="15" customHeight="1">
      <c r="C24">
        <f>IF((((DATASET!$C24='1 · Executive View'!$B$6)+('1 · Executive View'!$B$6=""))*((DATASET!$D24='1 · Executive View'!$D$6)+('1 · Executive View'!$D$6=""))*((DATASET!$E24='1 · Executive View'!$F$6)+('1 · Executive View'!$F$6=""))*((DATASET!$F24='1 · Executive View'!$H$6)+('1 · Executive View'!$H$6=""))*(DATASET!$G24&lt;&gt;""))&gt;0,1,0)</f>
        <v>1</v>
      </c>
      <c r="D24">
        <f t="shared" si="20"/>
        <v>2</v>
      </c>
      <c r="E24" s="103">
        <f>IF(C24=1,DATASET!$I24,"")</f>
        <v>1158000</v>
      </c>
      <c r="F24" t="str">
        <f>IF(((((DATASET!$C24='1 · Executive View'!$B$6)+('1 · Executive View'!$B$6=""))*(DATASET!$D24&lt;&gt;"")*(DATASET!$G24&lt;&gt;""))*(SUMPRODUCT((DATASET!$D$2:$D23=DATASET!$D24)*((DATASET!$C$2:$C23='1 · Executive View'!$B$6)+('1 · Executive View'!$B$6=""))*(DATASET!$D$2:$D23&lt;&gt;"")*(DATASET!$G$2:$G23&lt;&gt;""))=0))&gt;0,DATASET!$D24,"")</f>
        <v/>
      </c>
      <c r="G24" t="str">
        <f t="shared" si="21"/>
        <v/>
      </c>
      <c r="H24" t="str">
        <f>IF(((((DATASET!$C24='1 · Executive View'!$B$6)+('1 · Executive View'!$B$6=""))*((DATASET!$D24='1 · Executive View'!$D$6)+('1 · Executive View'!$D$6=""))*(DATASET!$E24&lt;&gt;"")*(DATASET!$G24&lt;&gt;""))*(SUMPRODUCT((DATASET!$E$2:$E23=DATASET!$E24)*((DATASET!$C$2:$C23='1 · Executive View'!$B$6)+('1 · Executive View'!$B$6=""))*((DATASET!$D$2:$D23='1 · Executive View'!$D$6)+('1 · Executive View'!$D$6=""))*(DATASET!$E$2:$E23&lt;&gt;"")*(DATASET!$G$2:$G23&lt;&gt;""))=0))&gt;0,DATASET!$E24,"")</f>
        <v/>
      </c>
      <c r="I24" t="str">
        <f t="shared" si="22"/>
        <v/>
      </c>
      <c r="J24" t="str">
        <f>IF(((((DATASET!$C24='1 · Executive View'!$B$6)+('1 · Executive View'!$B$6=""))*((DATASET!$D24='1 · Executive View'!$D$6)+('1 · Executive View'!$D$6=""))*((DATASET!$E24='1 · Executive View'!$F$6)+('1 · Executive View'!$F$6=""))*(DATASET!$F24&lt;&gt;"")*(DATASET!$G24&lt;&gt;""))*(SUMPRODUCT((DATASET!$F$2:$F23=DATASET!$F24)*((DATASET!$C$2:$C23='1 · Executive View'!$B$6)+('1 · Executive View'!$B$6=""))*((DATASET!$D$2:$D23='1 · Executive View'!$D$6)+('1 · Executive View'!$D$6=""))*((DATASET!$E$2:$E23='1 · Executive View'!$F$6)+('1 · Executive View'!$F$6=""))*(DATASET!$F$2:$F23&lt;&gt;"")*(DATASET!$G$2:$G23&lt;&gt;""))=0))&gt;0,DATASET!$F24,"")</f>
        <v/>
      </c>
      <c r="K24" t="str">
        <f t="shared" si="23"/>
        <v/>
      </c>
      <c r="N24">
        <f>IF((((DATASET!$C24='2 · Sidebar Studio'!$B$7)+('2 · Sidebar Studio'!$B$7=""))*((DATASET!$D24='2 · Sidebar Studio'!$B$9)+('2 · Sidebar Studio'!$B$9=""))*((DATASET!$E24='2 · Sidebar Studio'!$B$11)+('2 · Sidebar Studio'!$B$11=""))*((DATASET!$F24='2 · Sidebar Studio'!$B$13)+('2 · Sidebar Studio'!$B$13=""))*(DATASET!$G24&lt;&gt;""))&gt;0,1,0)</f>
        <v>1</v>
      </c>
      <c r="O24">
        <f t="shared" si="24"/>
        <v>20</v>
      </c>
      <c r="P24" s="103">
        <f>IF(N24=1,DATASET!$I24,"")</f>
        <v>1158000</v>
      </c>
      <c r="Q24" t="str">
        <f>IF(((((DATASET!$C24='2 · Sidebar Studio'!$B$7)+('2 · Sidebar Studio'!$B$7=""))*(DATASET!$D24&lt;&gt;"")*(DATASET!$G24&lt;&gt;""))*(SUMPRODUCT((DATASET!$D$2:$D23=DATASET!$D24)*((DATASET!$C$2:$C23='2 · Sidebar Studio'!$B$7)+('2 · Sidebar Studio'!$B$7=""))*(DATASET!$D$2:$D23&lt;&gt;"")*(DATASET!$G$2:$G23&lt;&gt;""))=0))&gt;0,DATASET!$D24,"")</f>
        <v/>
      </c>
      <c r="R24" t="str">
        <f t="shared" si="25"/>
        <v/>
      </c>
      <c r="S24" t="str">
        <f>IF(((((DATASET!$C24='2 · Sidebar Studio'!$B$7)+('2 · Sidebar Studio'!$B$7=""))*((DATASET!$D24='2 · Sidebar Studio'!$B$9)+('2 · Sidebar Studio'!$B$9=""))*(DATASET!$E24&lt;&gt;"")*(DATASET!$G24&lt;&gt;""))*(SUMPRODUCT((DATASET!$E$2:$E23=DATASET!$E24)*((DATASET!$C$2:$C23='2 · Sidebar Studio'!$B$7)+('2 · Sidebar Studio'!$B$7=""))*((DATASET!$D$2:$D23='2 · Sidebar Studio'!$B$9)+('2 · Sidebar Studio'!$B$9=""))*(DATASET!$E$2:$E23&lt;&gt;"")*(DATASET!$G$2:$G23&lt;&gt;""))=0))&gt;0,DATASET!$E24,"")</f>
        <v/>
      </c>
      <c r="T24" t="str">
        <f t="shared" si="26"/>
        <v/>
      </c>
      <c r="U24" t="str">
        <f>IF(((((DATASET!$C24='2 · Sidebar Studio'!$B$7)+('2 · Sidebar Studio'!$B$7=""))*((DATASET!$D24='2 · Sidebar Studio'!$B$9)+('2 · Sidebar Studio'!$B$9=""))*((DATASET!$E24='2 · Sidebar Studio'!$B$11)+('2 · Sidebar Studio'!$B$11=""))*(DATASET!$F24&lt;&gt;"")*(DATASET!$G24&lt;&gt;""))*(SUMPRODUCT((DATASET!$F$2:$F23=DATASET!$F24)*((DATASET!$C$2:$C23='2 · Sidebar Studio'!$B$7)+('2 · Sidebar Studio'!$B$7=""))*((DATASET!$D$2:$D23='2 · Sidebar Studio'!$B$9)+('2 · Sidebar Studio'!$B$9=""))*((DATASET!$E$2:$E23='2 · Sidebar Studio'!$B$11)+('2 · Sidebar Studio'!$B$11=""))*(DATASET!$F$2:$F23&lt;&gt;"")*(DATASET!$G$2:$G23&lt;&gt;""))=0))&gt;0,DATASET!$F24,"")</f>
        <v/>
      </c>
      <c r="V24" t="str">
        <f t="shared" si="27"/>
        <v/>
      </c>
      <c r="Y24">
        <f>IF((((DATASET!$C24='3 · KPI Cards'!$B$9)+('3 · KPI Cards'!$B$9=""))*((DATASET!$D24='3 · KPI Cards'!$D$9)+('3 · KPI Cards'!$D$9=""))*((DATASET!$E24='3 · KPI Cards'!$F$9)+('3 · KPI Cards'!$F$9=""))*((DATASET!$F24='3 · KPI Cards'!$H$9)+('3 · KPI Cards'!$H$9=""))*(DATASET!$G24&lt;&gt;""))&gt;0,1,0)</f>
        <v>1</v>
      </c>
      <c r="Z24">
        <f t="shared" si="28"/>
        <v>20</v>
      </c>
      <c r="AA24" s="103">
        <f>IF(Y24=1,DATASET!$I24,"")</f>
        <v>1158000</v>
      </c>
      <c r="AB24" t="str">
        <f>IF(((((DATASET!$C24='3 · KPI Cards'!$B$9)+('3 · KPI Cards'!$B$9=""))*(DATASET!$D24&lt;&gt;"")*(DATASET!$G24&lt;&gt;""))*(SUMPRODUCT((DATASET!$D$2:$D23=DATASET!$D24)*((DATASET!$C$2:$C23='3 · KPI Cards'!$B$9)+('3 · KPI Cards'!$B$9=""))*(DATASET!$D$2:$D23&lt;&gt;"")*(DATASET!$G$2:$G23&lt;&gt;""))=0))&gt;0,DATASET!$D24,"")</f>
        <v/>
      </c>
      <c r="AC24" t="str">
        <f t="shared" si="29"/>
        <v/>
      </c>
      <c r="AD24" t="str">
        <f>IF(((((DATASET!$C24='3 · KPI Cards'!$B$9)+('3 · KPI Cards'!$B$9=""))*((DATASET!$D24='3 · KPI Cards'!$D$9)+('3 · KPI Cards'!$D$9=""))*(DATASET!$E24&lt;&gt;"")*(DATASET!$G24&lt;&gt;""))*(SUMPRODUCT((DATASET!$E$2:$E23=DATASET!$E24)*((DATASET!$C$2:$C23='3 · KPI Cards'!$B$9)+('3 · KPI Cards'!$B$9=""))*((DATASET!$D$2:$D23='3 · KPI Cards'!$D$9)+('3 · KPI Cards'!$D$9=""))*(DATASET!$E$2:$E23&lt;&gt;"")*(DATASET!$G$2:$G23&lt;&gt;""))=0))&gt;0,DATASET!$E24,"")</f>
        <v/>
      </c>
      <c r="AE24" t="str">
        <f t="shared" si="30"/>
        <v/>
      </c>
      <c r="AF24" t="str">
        <f>IF(((((DATASET!$C24='3 · KPI Cards'!$B$9)+('3 · KPI Cards'!$B$9=""))*((DATASET!$D24='3 · KPI Cards'!$D$9)+('3 · KPI Cards'!$D$9=""))*((DATASET!$E24='3 · KPI Cards'!$F$9)+('3 · KPI Cards'!$F$9=""))*(DATASET!$F24&lt;&gt;"")*(DATASET!$G24&lt;&gt;""))*(SUMPRODUCT((DATASET!$F$2:$F23=DATASET!$F24)*((DATASET!$C$2:$C23='3 · KPI Cards'!$B$9)+('3 · KPI Cards'!$B$9=""))*((DATASET!$D$2:$D23='3 · KPI Cards'!$D$9)+('3 · KPI Cards'!$D$9=""))*((DATASET!$E$2:$E23='3 · KPI Cards'!$F$9)+('3 · KPI Cards'!$F$9=""))*(DATASET!$F$2:$F23&lt;&gt;"")*(DATASET!$G$2:$G23&lt;&gt;""))=0))&gt;0,DATASET!$F24,"")</f>
        <v/>
      </c>
      <c r="AG24" t="str">
        <f t="shared" si="31"/>
        <v/>
      </c>
      <c r="AJ24">
        <f>IF((((DATASET!$C24='4 · Board Report'!$D$5)+('4 · Board Report'!$D$5=""))*((DATASET!$D24='4 · Board Report'!$D$6)+('4 · Board Report'!$D$6=""))*((DATASET!$E24='4 · Board Report'!$D$7)+('4 · Board Report'!$D$7=""))*((DATASET!$F24='4 · Board Report'!$D$8)+('4 · Board Report'!$D$8=""))*(DATASET!$G24&lt;&gt;""))&gt;0,1,0)</f>
        <v>1</v>
      </c>
      <c r="AK24">
        <f t="shared" si="32"/>
        <v>2</v>
      </c>
      <c r="AL24" s="103">
        <f>IF(AJ24=1,DATASET!$I24,"")</f>
        <v>1158000</v>
      </c>
      <c r="AM24" t="str">
        <f>IF(((((DATASET!$C24='4 · Board Report'!$D$5)+('4 · Board Report'!$D$5=""))*(DATASET!$D24&lt;&gt;"")*(DATASET!$G24&lt;&gt;""))*(SUMPRODUCT((DATASET!$D$2:$D23=DATASET!$D24)*((DATASET!$C$2:$C23='4 · Board Report'!$D$5)+('4 · Board Report'!$D$5=""))*(DATASET!$D$2:$D23&lt;&gt;"")*(DATASET!$G$2:$G23&lt;&gt;""))=0))&gt;0,DATASET!$D24,"")</f>
        <v/>
      </c>
      <c r="AN24" t="str">
        <f t="shared" si="33"/>
        <v/>
      </c>
      <c r="AO24" t="str">
        <f>IF(((((DATASET!$C24='4 · Board Report'!$D$5)+('4 · Board Report'!$D$5=""))*((DATASET!$D24='4 · Board Report'!$D$6)+('4 · Board Report'!$D$6=""))*(DATASET!$E24&lt;&gt;"")*(DATASET!$G24&lt;&gt;""))*(SUMPRODUCT((DATASET!$E$2:$E23=DATASET!$E24)*((DATASET!$C$2:$C23='4 · Board Report'!$D$5)+('4 · Board Report'!$D$5=""))*((DATASET!$D$2:$D23='4 · Board Report'!$D$6)+('4 · Board Report'!$D$6=""))*(DATASET!$E$2:$E23&lt;&gt;"")*(DATASET!$G$2:$G23&lt;&gt;""))=0))&gt;0,DATASET!$E24,"")</f>
        <v/>
      </c>
      <c r="AP24" t="str">
        <f t="shared" si="34"/>
        <v/>
      </c>
      <c r="AQ24" t="str">
        <f>IF(((((DATASET!$C24='4 · Board Report'!$D$5)+('4 · Board Report'!$D$5=""))*((DATASET!$D24='4 · Board Report'!$D$6)+('4 · Board Report'!$D$6=""))*((DATASET!$E24='4 · Board Report'!$D$7)+('4 · Board Report'!$D$7=""))*(DATASET!$F24&lt;&gt;"")*(DATASET!$G24&lt;&gt;""))*(SUMPRODUCT((DATASET!$F$2:$F23=DATASET!$F24)*((DATASET!$C$2:$C23='4 · Board Report'!$D$5)+('4 · Board Report'!$D$5=""))*((DATASET!$D$2:$D23='4 · Board Report'!$D$6)+('4 · Board Report'!$D$6=""))*((DATASET!$E$2:$E23='4 · Board Report'!$D$7)+('4 · Board Report'!$D$7=""))*(DATASET!$F$2:$F23&lt;&gt;"")*(DATASET!$G$2:$G23&lt;&gt;""))=0))&gt;0,DATASET!$F24,"")</f>
        <v/>
      </c>
      <c r="AR24" t="str">
        <f t="shared" si="35"/>
        <v/>
      </c>
      <c r="AU24">
        <f>IF((((DATASET!$C24='5 · Modern Console'!$B$4)+('5 · Modern Console'!$B$4=""))*((DATASET!$D24='5 · Modern Console'!$D$4)+('5 · Modern Console'!$D$4=""))*((DATASET!$E24='5 · Modern Console'!$F$4)+('5 · Modern Console'!$F$4=""))*((DATASET!$F24='5 · Modern Console'!$H$4)+('5 · Modern Console'!$H$4=""))*(DATASET!$G24&lt;&gt;""))&gt;0,1,0)</f>
        <v>1</v>
      </c>
      <c r="AV24">
        <f t="shared" si="36"/>
        <v>20</v>
      </c>
      <c r="AW24" s="103">
        <f>IF(AU24=1,DATASET!$I24,"")</f>
        <v>1158000</v>
      </c>
      <c r="AX24" t="str">
        <f>IF(((((DATASET!$C24='5 · Modern Console'!$B$4)+('5 · Modern Console'!$B$4=""))*(DATASET!$D24&lt;&gt;"")*(DATASET!$G24&lt;&gt;""))*(SUMPRODUCT((DATASET!$D$2:$D23=DATASET!$D24)*((DATASET!$C$2:$C23='5 · Modern Console'!$B$4)+('5 · Modern Console'!$B$4=""))*(DATASET!$D$2:$D23&lt;&gt;"")*(DATASET!$G$2:$G23&lt;&gt;""))=0))&gt;0,DATASET!$D24,"")</f>
        <v/>
      </c>
      <c r="AY24" t="str">
        <f t="shared" si="37"/>
        <v/>
      </c>
      <c r="AZ24" t="str">
        <f>IF(((((DATASET!$C24='5 · Modern Console'!$B$4)+('5 · Modern Console'!$B$4=""))*((DATASET!$D24='5 · Modern Console'!$D$4)+('5 · Modern Console'!$D$4=""))*(DATASET!$E24&lt;&gt;"")*(DATASET!$G24&lt;&gt;""))*(SUMPRODUCT((DATASET!$E$2:$E23=DATASET!$E24)*((DATASET!$C$2:$C23='5 · Modern Console'!$B$4)+('5 · Modern Console'!$B$4=""))*((DATASET!$D$2:$D23='5 · Modern Console'!$D$4)+('5 · Modern Console'!$D$4=""))*(DATASET!$E$2:$E23&lt;&gt;"")*(DATASET!$G$2:$G23&lt;&gt;""))=0))&gt;0,DATASET!$E24,"")</f>
        <v/>
      </c>
      <c r="BA24" t="str">
        <f t="shared" si="38"/>
        <v/>
      </c>
      <c r="BB24" t="str">
        <f>IF(((((DATASET!$C24='5 · Modern Console'!$B$4)+('5 · Modern Console'!$B$4=""))*((DATASET!$D24='5 · Modern Console'!$D$4)+('5 · Modern Console'!$D$4=""))*((DATASET!$E24='5 · Modern Console'!$F$4)+('5 · Modern Console'!$F$4=""))*(DATASET!$F24&lt;&gt;"")*(DATASET!$G24&lt;&gt;""))*(SUMPRODUCT((DATASET!$F$2:$F23=DATASET!$F24)*((DATASET!$C$2:$C23='5 · Modern Console'!$B$4)+('5 · Modern Console'!$B$4=""))*((DATASET!$D$2:$D23='5 · Modern Console'!$D$4)+('5 · Modern Console'!$D$4=""))*((DATASET!$E$2:$E23='5 · Modern Console'!$F$4)+('5 · Modern Console'!$F$4=""))*(DATASET!$F$2:$F23&lt;&gt;"")*(DATASET!$G$2:$G23&lt;&gt;""))=0))&gt;0,DATASET!$F24,"")</f>
        <v/>
      </c>
      <c r="BC24" t="str">
        <f t="shared" si="39"/>
        <v/>
      </c>
    </row>
    <row r="25" ht="15" customHeight="1">
      <c r="C25">
        <f>IF((((DATASET!$C25='1 · Executive View'!$B$6)+('1 · Executive View'!$B$6=""))*((DATASET!$D25='1 · Executive View'!$D$6)+('1 · Executive View'!$D$6=""))*((DATASET!$E25='1 · Executive View'!$F$6)+('1 · Executive View'!$F$6=""))*((DATASET!$F25='1 · Executive View'!$H$6)+('1 · Executive View'!$H$6=""))*(DATASET!$G25&lt;&gt;""))&gt;0,1,0)</f>
        <v>1</v>
      </c>
      <c r="D25">
        <f t="shared" si="20"/>
        <v>3</v>
      </c>
      <c r="E25" s="103">
        <f>IF(C25=1,DATASET!$I25,"")</f>
        <v>81873.800000000003</v>
      </c>
      <c r="F25" t="str">
        <f>IF(((((DATASET!$C25='1 · Executive View'!$B$6)+('1 · Executive View'!$B$6=""))*(DATASET!$D25&lt;&gt;"")*(DATASET!$G25&lt;&gt;""))*(SUMPRODUCT((DATASET!$D$2:$D24=DATASET!$D25)*((DATASET!$C$2:$C24='1 · Executive View'!$B$6)+('1 · Executive View'!$B$6=""))*(DATASET!$D$2:$D24&lt;&gt;"")*(DATASET!$G$2:$G24&lt;&gt;""))=0))&gt;0,DATASET!$D25,"")</f>
        <v/>
      </c>
      <c r="G25" t="str">
        <f t="shared" si="21"/>
        <v/>
      </c>
      <c r="H25" t="str">
        <f>IF(((((DATASET!$C25='1 · Executive View'!$B$6)+('1 · Executive View'!$B$6=""))*((DATASET!$D25='1 · Executive View'!$D$6)+('1 · Executive View'!$D$6=""))*(DATASET!$E25&lt;&gt;"")*(DATASET!$G25&lt;&gt;""))*(SUMPRODUCT((DATASET!$E$2:$E24=DATASET!$E25)*((DATASET!$C$2:$C24='1 · Executive View'!$B$6)+('1 · Executive View'!$B$6=""))*((DATASET!$D$2:$D24='1 · Executive View'!$D$6)+('1 · Executive View'!$D$6=""))*(DATASET!$E$2:$E24&lt;&gt;"")*(DATASET!$G$2:$G24&lt;&gt;""))=0))&gt;0,DATASET!$E25,"")</f>
        <v/>
      </c>
      <c r="I25" t="str">
        <f t="shared" si="22"/>
        <v/>
      </c>
      <c r="J25" t="str">
        <f>IF(((((DATASET!$C25='1 · Executive View'!$B$6)+('1 · Executive View'!$B$6=""))*((DATASET!$D25='1 · Executive View'!$D$6)+('1 · Executive View'!$D$6=""))*((DATASET!$E25='1 · Executive View'!$F$6)+('1 · Executive View'!$F$6=""))*(DATASET!$F25&lt;&gt;"")*(DATASET!$G25&lt;&gt;""))*(SUMPRODUCT((DATASET!$F$2:$F24=DATASET!$F25)*((DATASET!$C$2:$C24='1 · Executive View'!$B$6)+('1 · Executive View'!$B$6=""))*((DATASET!$D$2:$D24='1 · Executive View'!$D$6)+('1 · Executive View'!$D$6=""))*((DATASET!$E$2:$E24='1 · Executive View'!$F$6)+('1 · Executive View'!$F$6=""))*(DATASET!$F$2:$F24&lt;&gt;"")*(DATASET!$G$2:$G24&lt;&gt;""))=0))&gt;0,DATASET!$F25,"")</f>
        <v/>
      </c>
      <c r="K25" t="str">
        <f t="shared" si="23"/>
        <v/>
      </c>
      <c r="N25">
        <f>IF((((DATASET!$C25='2 · Sidebar Studio'!$B$7)+('2 · Sidebar Studio'!$B$7=""))*((DATASET!$D25='2 · Sidebar Studio'!$B$9)+('2 · Sidebar Studio'!$B$9=""))*((DATASET!$E25='2 · Sidebar Studio'!$B$11)+('2 · Sidebar Studio'!$B$11=""))*((DATASET!$F25='2 · Sidebar Studio'!$B$13)+('2 · Sidebar Studio'!$B$13=""))*(DATASET!$G25&lt;&gt;""))&gt;0,1,0)</f>
        <v>1</v>
      </c>
      <c r="O25">
        <f t="shared" si="24"/>
        <v>21</v>
      </c>
      <c r="P25" s="103">
        <f>IF(N25=1,DATASET!$I25,"")</f>
        <v>81873.800000000003</v>
      </c>
      <c r="Q25" t="str">
        <f>IF(((((DATASET!$C25='2 · Sidebar Studio'!$B$7)+('2 · Sidebar Studio'!$B$7=""))*(DATASET!$D25&lt;&gt;"")*(DATASET!$G25&lt;&gt;""))*(SUMPRODUCT((DATASET!$D$2:$D24=DATASET!$D25)*((DATASET!$C$2:$C24='2 · Sidebar Studio'!$B$7)+('2 · Sidebar Studio'!$B$7=""))*(DATASET!$D$2:$D24&lt;&gt;"")*(DATASET!$G$2:$G24&lt;&gt;""))=0))&gt;0,DATASET!$D25,"")</f>
        <v/>
      </c>
      <c r="R25" t="str">
        <f t="shared" si="25"/>
        <v/>
      </c>
      <c r="S25" t="str">
        <f>IF(((((DATASET!$C25='2 · Sidebar Studio'!$B$7)+('2 · Sidebar Studio'!$B$7=""))*((DATASET!$D25='2 · Sidebar Studio'!$B$9)+('2 · Sidebar Studio'!$B$9=""))*(DATASET!$E25&lt;&gt;"")*(DATASET!$G25&lt;&gt;""))*(SUMPRODUCT((DATASET!$E$2:$E24=DATASET!$E25)*((DATASET!$C$2:$C24='2 · Sidebar Studio'!$B$7)+('2 · Sidebar Studio'!$B$7=""))*((DATASET!$D$2:$D24='2 · Sidebar Studio'!$B$9)+('2 · Sidebar Studio'!$B$9=""))*(DATASET!$E$2:$E24&lt;&gt;"")*(DATASET!$G$2:$G24&lt;&gt;""))=0))&gt;0,DATASET!$E25,"")</f>
        <v/>
      </c>
      <c r="T25" t="str">
        <f t="shared" si="26"/>
        <v/>
      </c>
      <c r="U25" t="str">
        <f>IF(((((DATASET!$C25='2 · Sidebar Studio'!$B$7)+('2 · Sidebar Studio'!$B$7=""))*((DATASET!$D25='2 · Sidebar Studio'!$B$9)+('2 · Sidebar Studio'!$B$9=""))*((DATASET!$E25='2 · Sidebar Studio'!$B$11)+('2 · Sidebar Studio'!$B$11=""))*(DATASET!$F25&lt;&gt;"")*(DATASET!$G25&lt;&gt;""))*(SUMPRODUCT((DATASET!$F$2:$F24=DATASET!$F25)*((DATASET!$C$2:$C24='2 · Sidebar Studio'!$B$7)+('2 · Sidebar Studio'!$B$7=""))*((DATASET!$D$2:$D24='2 · Sidebar Studio'!$B$9)+('2 · Sidebar Studio'!$B$9=""))*((DATASET!$E$2:$E24='2 · Sidebar Studio'!$B$11)+('2 · Sidebar Studio'!$B$11=""))*(DATASET!$F$2:$F24&lt;&gt;"")*(DATASET!$G$2:$G24&lt;&gt;""))=0))&gt;0,DATASET!$F25,"")</f>
        <v/>
      </c>
      <c r="V25" t="str">
        <f t="shared" si="27"/>
        <v/>
      </c>
      <c r="Y25">
        <f>IF((((DATASET!$C25='3 · KPI Cards'!$B$9)+('3 · KPI Cards'!$B$9=""))*((DATASET!$D25='3 · KPI Cards'!$D$9)+('3 · KPI Cards'!$D$9=""))*((DATASET!$E25='3 · KPI Cards'!$F$9)+('3 · KPI Cards'!$F$9=""))*((DATASET!$F25='3 · KPI Cards'!$H$9)+('3 · KPI Cards'!$H$9=""))*(DATASET!$G25&lt;&gt;""))&gt;0,1,0)</f>
        <v>1</v>
      </c>
      <c r="Z25">
        <f t="shared" si="28"/>
        <v>21</v>
      </c>
      <c r="AA25" s="103">
        <f>IF(Y25=1,DATASET!$I25,"")</f>
        <v>81873.800000000003</v>
      </c>
      <c r="AB25" t="str">
        <f>IF(((((DATASET!$C25='3 · KPI Cards'!$B$9)+('3 · KPI Cards'!$B$9=""))*(DATASET!$D25&lt;&gt;"")*(DATASET!$G25&lt;&gt;""))*(SUMPRODUCT((DATASET!$D$2:$D24=DATASET!$D25)*((DATASET!$C$2:$C24='3 · KPI Cards'!$B$9)+('3 · KPI Cards'!$B$9=""))*(DATASET!$D$2:$D24&lt;&gt;"")*(DATASET!$G$2:$G24&lt;&gt;""))=0))&gt;0,DATASET!$D25,"")</f>
        <v/>
      </c>
      <c r="AC25" t="str">
        <f t="shared" si="29"/>
        <v/>
      </c>
      <c r="AD25" t="str">
        <f>IF(((((DATASET!$C25='3 · KPI Cards'!$B$9)+('3 · KPI Cards'!$B$9=""))*((DATASET!$D25='3 · KPI Cards'!$D$9)+('3 · KPI Cards'!$D$9=""))*(DATASET!$E25&lt;&gt;"")*(DATASET!$G25&lt;&gt;""))*(SUMPRODUCT((DATASET!$E$2:$E24=DATASET!$E25)*((DATASET!$C$2:$C24='3 · KPI Cards'!$B$9)+('3 · KPI Cards'!$B$9=""))*((DATASET!$D$2:$D24='3 · KPI Cards'!$D$9)+('3 · KPI Cards'!$D$9=""))*(DATASET!$E$2:$E24&lt;&gt;"")*(DATASET!$G$2:$G24&lt;&gt;""))=0))&gt;0,DATASET!$E25,"")</f>
        <v/>
      </c>
      <c r="AE25" t="str">
        <f t="shared" si="30"/>
        <v/>
      </c>
      <c r="AF25" t="str">
        <f>IF(((((DATASET!$C25='3 · KPI Cards'!$B$9)+('3 · KPI Cards'!$B$9=""))*((DATASET!$D25='3 · KPI Cards'!$D$9)+('3 · KPI Cards'!$D$9=""))*((DATASET!$E25='3 · KPI Cards'!$F$9)+('3 · KPI Cards'!$F$9=""))*(DATASET!$F25&lt;&gt;"")*(DATASET!$G25&lt;&gt;""))*(SUMPRODUCT((DATASET!$F$2:$F24=DATASET!$F25)*((DATASET!$C$2:$C24='3 · KPI Cards'!$B$9)+('3 · KPI Cards'!$B$9=""))*((DATASET!$D$2:$D24='3 · KPI Cards'!$D$9)+('3 · KPI Cards'!$D$9=""))*((DATASET!$E$2:$E24='3 · KPI Cards'!$F$9)+('3 · KPI Cards'!$F$9=""))*(DATASET!$F$2:$F24&lt;&gt;"")*(DATASET!$G$2:$G24&lt;&gt;""))=0))&gt;0,DATASET!$F25,"")</f>
        <v/>
      </c>
      <c r="AG25" t="str">
        <f t="shared" si="31"/>
        <v/>
      </c>
      <c r="AJ25">
        <f>IF((((DATASET!$C25='4 · Board Report'!$D$5)+('4 · Board Report'!$D$5=""))*((DATASET!$D25='4 · Board Report'!$D$6)+('4 · Board Report'!$D$6=""))*((DATASET!$E25='4 · Board Report'!$D$7)+('4 · Board Report'!$D$7=""))*((DATASET!$F25='4 · Board Report'!$D$8)+('4 · Board Report'!$D$8=""))*(DATASET!$G25&lt;&gt;""))&gt;0,1,0)</f>
        <v>1</v>
      </c>
      <c r="AK25">
        <f t="shared" si="32"/>
        <v>3</v>
      </c>
      <c r="AL25" s="103">
        <f>IF(AJ25=1,DATASET!$I25,"")</f>
        <v>81873.800000000003</v>
      </c>
      <c r="AM25" t="str">
        <f>IF(((((DATASET!$C25='4 · Board Report'!$D$5)+('4 · Board Report'!$D$5=""))*(DATASET!$D25&lt;&gt;"")*(DATASET!$G25&lt;&gt;""))*(SUMPRODUCT((DATASET!$D$2:$D24=DATASET!$D25)*((DATASET!$C$2:$C24='4 · Board Report'!$D$5)+('4 · Board Report'!$D$5=""))*(DATASET!$D$2:$D24&lt;&gt;"")*(DATASET!$G$2:$G24&lt;&gt;""))=0))&gt;0,DATASET!$D25,"")</f>
        <v/>
      </c>
      <c r="AN25" t="str">
        <f t="shared" si="33"/>
        <v/>
      </c>
      <c r="AO25" t="str">
        <f>IF(((((DATASET!$C25='4 · Board Report'!$D$5)+('4 · Board Report'!$D$5=""))*((DATASET!$D25='4 · Board Report'!$D$6)+('4 · Board Report'!$D$6=""))*(DATASET!$E25&lt;&gt;"")*(DATASET!$G25&lt;&gt;""))*(SUMPRODUCT((DATASET!$E$2:$E24=DATASET!$E25)*((DATASET!$C$2:$C24='4 · Board Report'!$D$5)+('4 · Board Report'!$D$5=""))*((DATASET!$D$2:$D24='4 · Board Report'!$D$6)+('4 · Board Report'!$D$6=""))*(DATASET!$E$2:$E24&lt;&gt;"")*(DATASET!$G$2:$G24&lt;&gt;""))=0))&gt;0,DATASET!$E25,"")</f>
        <v/>
      </c>
      <c r="AP25" t="str">
        <f t="shared" si="34"/>
        <v/>
      </c>
      <c r="AQ25" t="str">
        <f>IF(((((DATASET!$C25='4 · Board Report'!$D$5)+('4 · Board Report'!$D$5=""))*((DATASET!$D25='4 · Board Report'!$D$6)+('4 · Board Report'!$D$6=""))*((DATASET!$E25='4 · Board Report'!$D$7)+('4 · Board Report'!$D$7=""))*(DATASET!$F25&lt;&gt;"")*(DATASET!$G25&lt;&gt;""))*(SUMPRODUCT((DATASET!$F$2:$F24=DATASET!$F25)*((DATASET!$C$2:$C24='4 · Board Report'!$D$5)+('4 · Board Report'!$D$5=""))*((DATASET!$D$2:$D24='4 · Board Report'!$D$6)+('4 · Board Report'!$D$6=""))*((DATASET!$E$2:$E24='4 · Board Report'!$D$7)+('4 · Board Report'!$D$7=""))*(DATASET!$F$2:$F24&lt;&gt;"")*(DATASET!$G$2:$G24&lt;&gt;""))=0))&gt;0,DATASET!$F25,"")</f>
        <v/>
      </c>
      <c r="AR25" t="str">
        <f t="shared" si="35"/>
        <v/>
      </c>
      <c r="AU25">
        <f>IF((((DATASET!$C25='5 · Modern Console'!$B$4)+('5 · Modern Console'!$B$4=""))*((DATASET!$D25='5 · Modern Console'!$D$4)+('5 · Modern Console'!$D$4=""))*((DATASET!$E25='5 · Modern Console'!$F$4)+('5 · Modern Console'!$F$4=""))*((DATASET!$F25='5 · Modern Console'!$H$4)+('5 · Modern Console'!$H$4=""))*(DATASET!$G25&lt;&gt;""))&gt;0,1,0)</f>
        <v>1</v>
      </c>
      <c r="AV25">
        <f t="shared" si="36"/>
        <v>21</v>
      </c>
      <c r="AW25" s="103">
        <f>IF(AU25=1,DATASET!$I25,"")</f>
        <v>81873.800000000003</v>
      </c>
      <c r="AX25" t="str">
        <f>IF(((((DATASET!$C25='5 · Modern Console'!$B$4)+('5 · Modern Console'!$B$4=""))*(DATASET!$D25&lt;&gt;"")*(DATASET!$G25&lt;&gt;""))*(SUMPRODUCT((DATASET!$D$2:$D24=DATASET!$D25)*((DATASET!$C$2:$C24='5 · Modern Console'!$B$4)+('5 · Modern Console'!$B$4=""))*(DATASET!$D$2:$D24&lt;&gt;"")*(DATASET!$G$2:$G24&lt;&gt;""))=0))&gt;0,DATASET!$D25,"")</f>
        <v/>
      </c>
      <c r="AY25" t="str">
        <f t="shared" si="37"/>
        <v/>
      </c>
      <c r="AZ25" t="str">
        <f>IF(((((DATASET!$C25='5 · Modern Console'!$B$4)+('5 · Modern Console'!$B$4=""))*((DATASET!$D25='5 · Modern Console'!$D$4)+('5 · Modern Console'!$D$4=""))*(DATASET!$E25&lt;&gt;"")*(DATASET!$G25&lt;&gt;""))*(SUMPRODUCT((DATASET!$E$2:$E24=DATASET!$E25)*((DATASET!$C$2:$C24='5 · Modern Console'!$B$4)+('5 · Modern Console'!$B$4=""))*((DATASET!$D$2:$D24='5 · Modern Console'!$D$4)+('5 · Modern Console'!$D$4=""))*(DATASET!$E$2:$E24&lt;&gt;"")*(DATASET!$G$2:$G24&lt;&gt;""))=0))&gt;0,DATASET!$E25,"")</f>
        <v/>
      </c>
      <c r="BA25" t="str">
        <f t="shared" si="38"/>
        <v/>
      </c>
      <c r="BB25" t="str">
        <f>IF(((((DATASET!$C25='5 · Modern Console'!$B$4)+('5 · Modern Console'!$B$4=""))*((DATASET!$D25='5 · Modern Console'!$D$4)+('5 · Modern Console'!$D$4=""))*((DATASET!$E25='5 · Modern Console'!$F$4)+('5 · Modern Console'!$F$4=""))*(DATASET!$F25&lt;&gt;"")*(DATASET!$G25&lt;&gt;""))*(SUMPRODUCT((DATASET!$F$2:$F24=DATASET!$F25)*((DATASET!$C$2:$C24='5 · Modern Console'!$B$4)+('5 · Modern Console'!$B$4=""))*((DATASET!$D$2:$D24='5 · Modern Console'!$D$4)+('5 · Modern Console'!$D$4=""))*((DATASET!$E$2:$E24='5 · Modern Console'!$F$4)+('5 · Modern Console'!$F$4=""))*(DATASET!$F$2:$F24&lt;&gt;"")*(DATASET!$G$2:$G24&lt;&gt;""))=0))&gt;0,DATASET!$F25,"")</f>
        <v/>
      </c>
      <c r="BC25" t="str">
        <f t="shared" si="39"/>
        <v/>
      </c>
    </row>
    <row r="26" ht="15" customHeight="1">
      <c r="C26">
        <f>IF((((DATASET!$C26='1 · Executive View'!$B$6)+('1 · Executive View'!$B$6=""))*((DATASET!$D26='1 · Executive View'!$D$6)+('1 · Executive View'!$D$6=""))*((DATASET!$E26='1 · Executive View'!$F$6)+('1 · Executive View'!$F$6=""))*((DATASET!$F26='1 · Executive View'!$H$6)+('1 · Executive View'!$H$6=""))*(DATASET!$G26&lt;&gt;""))&gt;0,1,0)</f>
        <v>1</v>
      </c>
      <c r="D26">
        <f t="shared" si="20"/>
        <v>4</v>
      </c>
      <c r="E26" s="103">
        <f>IF(C26=1,DATASET!$I26,"")</f>
        <v>8500</v>
      </c>
      <c r="F26" t="str">
        <f>IF(((((DATASET!$C26='1 · Executive View'!$B$6)+('1 · Executive View'!$B$6=""))*(DATASET!$D26&lt;&gt;"")*(DATASET!$G26&lt;&gt;""))*(SUMPRODUCT((DATASET!$D$2:$D25=DATASET!$D26)*((DATASET!$C$2:$C25='1 · Executive View'!$B$6)+('1 · Executive View'!$B$6=""))*(DATASET!$D$2:$D25&lt;&gt;"")*(DATASET!$G$2:$G25&lt;&gt;""))=0))&gt;0,DATASET!$D26,"")</f>
        <v/>
      </c>
      <c r="G26" t="str">
        <f t="shared" si="21"/>
        <v/>
      </c>
      <c r="H26" t="str">
        <f>IF(((((DATASET!$C26='1 · Executive View'!$B$6)+('1 · Executive View'!$B$6=""))*((DATASET!$D26='1 · Executive View'!$D$6)+('1 · Executive View'!$D$6=""))*(DATASET!$E26&lt;&gt;"")*(DATASET!$G26&lt;&gt;""))*(SUMPRODUCT((DATASET!$E$2:$E25=DATASET!$E26)*((DATASET!$C$2:$C25='1 · Executive View'!$B$6)+('1 · Executive View'!$B$6=""))*((DATASET!$D$2:$D25='1 · Executive View'!$D$6)+('1 · Executive View'!$D$6=""))*(DATASET!$E$2:$E25&lt;&gt;"")*(DATASET!$G$2:$G25&lt;&gt;""))=0))&gt;0,DATASET!$E26,"")</f>
        <v xml:space="preserve">3) Verso imprese collegate</v>
      </c>
      <c r="I26">
        <f t="shared" si="22"/>
        <v>2</v>
      </c>
      <c r="J26" t="str">
        <f>IF(((((DATASET!$C26='1 · Executive View'!$B$6)+('1 · Executive View'!$B$6=""))*((DATASET!$D26='1 · Executive View'!$D$6)+('1 · Executive View'!$D$6=""))*((DATASET!$E26='1 · Executive View'!$F$6)+('1 · Executive View'!$F$6=""))*(DATASET!$F26&lt;&gt;"")*(DATASET!$G26&lt;&gt;""))*(SUMPRODUCT((DATASET!$F$2:$F25=DATASET!$F26)*((DATASET!$C$2:$C25='1 · Executive View'!$B$6)+('1 · Executive View'!$B$6=""))*((DATASET!$D$2:$D25='1 · Executive View'!$D$6)+('1 · Executive View'!$D$6=""))*((DATASET!$E$2:$E25='1 · Executive View'!$F$6)+('1 · Executive View'!$F$6=""))*(DATASET!$F$2:$F25&lt;&gt;"")*(DATASET!$G$2:$G25&lt;&gt;""))=0))&gt;0,DATASET!$F26,"")</f>
        <v/>
      </c>
      <c r="K26" t="str">
        <f t="shared" si="23"/>
        <v/>
      </c>
      <c r="N26">
        <f>IF((((DATASET!$C26='2 · Sidebar Studio'!$B$7)+('2 · Sidebar Studio'!$B$7=""))*((DATASET!$D26='2 · Sidebar Studio'!$B$9)+('2 · Sidebar Studio'!$B$9=""))*((DATASET!$E26='2 · Sidebar Studio'!$B$11)+('2 · Sidebar Studio'!$B$11=""))*((DATASET!$F26='2 · Sidebar Studio'!$B$13)+('2 · Sidebar Studio'!$B$13=""))*(DATASET!$G26&lt;&gt;""))&gt;0,1,0)</f>
        <v>1</v>
      </c>
      <c r="O26">
        <f t="shared" si="24"/>
        <v>22</v>
      </c>
      <c r="P26" s="103">
        <f>IF(N26=1,DATASET!$I26,"")</f>
        <v>8500</v>
      </c>
      <c r="Q26" t="str">
        <f>IF(((((DATASET!$C26='2 · Sidebar Studio'!$B$7)+('2 · Sidebar Studio'!$B$7=""))*(DATASET!$D26&lt;&gt;"")*(DATASET!$G26&lt;&gt;""))*(SUMPRODUCT((DATASET!$D$2:$D25=DATASET!$D26)*((DATASET!$C$2:$C25='2 · Sidebar Studio'!$B$7)+('2 · Sidebar Studio'!$B$7=""))*(DATASET!$D$2:$D25&lt;&gt;"")*(DATASET!$G$2:$G25&lt;&gt;""))=0))&gt;0,DATASET!$D26,"")</f>
        <v/>
      </c>
      <c r="R26" t="str">
        <f t="shared" si="25"/>
        <v/>
      </c>
      <c r="S26" t="str">
        <f>IF(((((DATASET!$C26='2 · Sidebar Studio'!$B$7)+('2 · Sidebar Studio'!$B$7=""))*((DATASET!$D26='2 · Sidebar Studio'!$B$9)+('2 · Sidebar Studio'!$B$9=""))*(DATASET!$E26&lt;&gt;"")*(DATASET!$G26&lt;&gt;""))*(SUMPRODUCT((DATASET!$E$2:$E25=DATASET!$E26)*((DATASET!$C$2:$C25='2 · Sidebar Studio'!$B$7)+('2 · Sidebar Studio'!$B$7=""))*((DATASET!$D$2:$D25='2 · Sidebar Studio'!$B$9)+('2 · Sidebar Studio'!$B$9=""))*(DATASET!$E$2:$E25&lt;&gt;"")*(DATASET!$G$2:$G25&lt;&gt;""))=0))&gt;0,DATASET!$E26,"")</f>
        <v xml:space="preserve">3) Verso imprese collegate</v>
      </c>
      <c r="T26">
        <f t="shared" si="26"/>
        <v>3</v>
      </c>
      <c r="U26" t="str">
        <f>IF(((((DATASET!$C26='2 · Sidebar Studio'!$B$7)+('2 · Sidebar Studio'!$B$7=""))*((DATASET!$D26='2 · Sidebar Studio'!$B$9)+('2 · Sidebar Studio'!$B$9=""))*((DATASET!$E26='2 · Sidebar Studio'!$B$11)+('2 · Sidebar Studio'!$B$11=""))*(DATASET!$F26&lt;&gt;"")*(DATASET!$G26&lt;&gt;""))*(SUMPRODUCT((DATASET!$F$2:$F25=DATASET!$F26)*((DATASET!$C$2:$C25='2 · Sidebar Studio'!$B$7)+('2 · Sidebar Studio'!$B$7=""))*((DATASET!$D$2:$D25='2 · Sidebar Studio'!$B$9)+('2 · Sidebar Studio'!$B$9=""))*((DATASET!$E$2:$E25='2 · Sidebar Studio'!$B$11)+('2 · Sidebar Studio'!$B$11=""))*(DATASET!$F$2:$F25&lt;&gt;"")*(DATASET!$G$2:$G25&lt;&gt;""))=0))&gt;0,DATASET!$F26,"")</f>
        <v/>
      </c>
      <c r="V26" t="str">
        <f t="shared" si="27"/>
        <v/>
      </c>
      <c r="Y26">
        <f>IF((((DATASET!$C26='3 · KPI Cards'!$B$9)+('3 · KPI Cards'!$B$9=""))*((DATASET!$D26='3 · KPI Cards'!$D$9)+('3 · KPI Cards'!$D$9=""))*((DATASET!$E26='3 · KPI Cards'!$F$9)+('3 · KPI Cards'!$F$9=""))*((DATASET!$F26='3 · KPI Cards'!$H$9)+('3 · KPI Cards'!$H$9=""))*(DATASET!$G26&lt;&gt;""))&gt;0,1,0)</f>
        <v>1</v>
      </c>
      <c r="Z26">
        <f t="shared" si="28"/>
        <v>22</v>
      </c>
      <c r="AA26" s="103">
        <f>IF(Y26=1,DATASET!$I26,"")</f>
        <v>8500</v>
      </c>
      <c r="AB26" t="str">
        <f>IF(((((DATASET!$C26='3 · KPI Cards'!$B$9)+('3 · KPI Cards'!$B$9=""))*(DATASET!$D26&lt;&gt;"")*(DATASET!$G26&lt;&gt;""))*(SUMPRODUCT((DATASET!$D$2:$D25=DATASET!$D26)*((DATASET!$C$2:$C25='3 · KPI Cards'!$B$9)+('3 · KPI Cards'!$B$9=""))*(DATASET!$D$2:$D25&lt;&gt;"")*(DATASET!$G$2:$G25&lt;&gt;""))=0))&gt;0,DATASET!$D26,"")</f>
        <v/>
      </c>
      <c r="AC26" t="str">
        <f t="shared" si="29"/>
        <v/>
      </c>
      <c r="AD26" t="str">
        <f>IF(((((DATASET!$C26='3 · KPI Cards'!$B$9)+('3 · KPI Cards'!$B$9=""))*((DATASET!$D26='3 · KPI Cards'!$D$9)+('3 · KPI Cards'!$D$9=""))*(DATASET!$E26&lt;&gt;"")*(DATASET!$G26&lt;&gt;""))*(SUMPRODUCT((DATASET!$E$2:$E25=DATASET!$E26)*((DATASET!$C$2:$C25='3 · KPI Cards'!$B$9)+('3 · KPI Cards'!$B$9=""))*((DATASET!$D$2:$D25='3 · KPI Cards'!$D$9)+('3 · KPI Cards'!$D$9=""))*(DATASET!$E$2:$E25&lt;&gt;"")*(DATASET!$G$2:$G25&lt;&gt;""))=0))&gt;0,DATASET!$E26,"")</f>
        <v xml:space="preserve">3) Verso imprese collegate</v>
      </c>
      <c r="AE26">
        <f t="shared" si="30"/>
        <v>3</v>
      </c>
      <c r="AF26" t="str">
        <f>IF(((((DATASET!$C26='3 · KPI Cards'!$B$9)+('3 · KPI Cards'!$B$9=""))*((DATASET!$D26='3 · KPI Cards'!$D$9)+('3 · KPI Cards'!$D$9=""))*((DATASET!$E26='3 · KPI Cards'!$F$9)+('3 · KPI Cards'!$F$9=""))*(DATASET!$F26&lt;&gt;"")*(DATASET!$G26&lt;&gt;""))*(SUMPRODUCT((DATASET!$F$2:$F25=DATASET!$F26)*((DATASET!$C$2:$C25='3 · KPI Cards'!$B$9)+('3 · KPI Cards'!$B$9=""))*((DATASET!$D$2:$D25='3 · KPI Cards'!$D$9)+('3 · KPI Cards'!$D$9=""))*((DATASET!$E$2:$E25='3 · KPI Cards'!$F$9)+('3 · KPI Cards'!$F$9=""))*(DATASET!$F$2:$F25&lt;&gt;"")*(DATASET!$G$2:$G25&lt;&gt;""))=0))&gt;0,DATASET!$F26,"")</f>
        <v/>
      </c>
      <c r="AG26" t="str">
        <f t="shared" si="31"/>
        <v/>
      </c>
      <c r="AJ26">
        <f>IF((((DATASET!$C26='4 · Board Report'!$D$5)+('4 · Board Report'!$D$5=""))*((DATASET!$D26='4 · Board Report'!$D$6)+('4 · Board Report'!$D$6=""))*((DATASET!$E26='4 · Board Report'!$D$7)+('4 · Board Report'!$D$7=""))*((DATASET!$F26='4 · Board Report'!$D$8)+('4 · Board Report'!$D$8=""))*(DATASET!$G26&lt;&gt;""))&gt;0,1,0)</f>
        <v>1</v>
      </c>
      <c r="AK26">
        <f t="shared" si="32"/>
        <v>4</v>
      </c>
      <c r="AL26" s="103">
        <f>IF(AJ26=1,DATASET!$I26,"")</f>
        <v>8500</v>
      </c>
      <c r="AM26" t="str">
        <f>IF(((((DATASET!$C26='4 · Board Report'!$D$5)+('4 · Board Report'!$D$5=""))*(DATASET!$D26&lt;&gt;"")*(DATASET!$G26&lt;&gt;""))*(SUMPRODUCT((DATASET!$D$2:$D25=DATASET!$D26)*((DATASET!$C$2:$C25='4 · Board Report'!$D$5)+('4 · Board Report'!$D$5=""))*(DATASET!$D$2:$D25&lt;&gt;"")*(DATASET!$G$2:$G25&lt;&gt;""))=0))&gt;0,DATASET!$D26,"")</f>
        <v/>
      </c>
      <c r="AN26" t="str">
        <f t="shared" si="33"/>
        <v/>
      </c>
      <c r="AO26" t="str">
        <f>IF(((((DATASET!$C26='4 · Board Report'!$D$5)+('4 · Board Report'!$D$5=""))*((DATASET!$D26='4 · Board Report'!$D$6)+('4 · Board Report'!$D$6=""))*(DATASET!$E26&lt;&gt;"")*(DATASET!$G26&lt;&gt;""))*(SUMPRODUCT((DATASET!$E$2:$E25=DATASET!$E26)*((DATASET!$C$2:$C25='4 · Board Report'!$D$5)+('4 · Board Report'!$D$5=""))*((DATASET!$D$2:$D25='4 · Board Report'!$D$6)+('4 · Board Report'!$D$6=""))*(DATASET!$E$2:$E25&lt;&gt;"")*(DATASET!$G$2:$G25&lt;&gt;""))=0))&gt;0,DATASET!$E26,"")</f>
        <v xml:space="preserve">3) Verso imprese collegate</v>
      </c>
      <c r="AP26">
        <f t="shared" si="34"/>
        <v>2</v>
      </c>
      <c r="AQ26" t="str">
        <f>IF(((((DATASET!$C26='4 · Board Report'!$D$5)+('4 · Board Report'!$D$5=""))*((DATASET!$D26='4 · Board Report'!$D$6)+('4 · Board Report'!$D$6=""))*((DATASET!$E26='4 · Board Report'!$D$7)+('4 · Board Report'!$D$7=""))*(DATASET!$F26&lt;&gt;"")*(DATASET!$G26&lt;&gt;""))*(SUMPRODUCT((DATASET!$F$2:$F25=DATASET!$F26)*((DATASET!$C$2:$C25='4 · Board Report'!$D$5)+('4 · Board Report'!$D$5=""))*((DATASET!$D$2:$D25='4 · Board Report'!$D$6)+('4 · Board Report'!$D$6=""))*((DATASET!$E$2:$E25='4 · Board Report'!$D$7)+('4 · Board Report'!$D$7=""))*(DATASET!$F$2:$F25&lt;&gt;"")*(DATASET!$G$2:$G25&lt;&gt;""))=0))&gt;0,DATASET!$F26,"")</f>
        <v/>
      </c>
      <c r="AR26" t="str">
        <f t="shared" si="35"/>
        <v/>
      </c>
      <c r="AU26">
        <f>IF((((DATASET!$C26='5 · Modern Console'!$B$4)+('5 · Modern Console'!$B$4=""))*((DATASET!$D26='5 · Modern Console'!$D$4)+('5 · Modern Console'!$D$4=""))*((DATASET!$E26='5 · Modern Console'!$F$4)+('5 · Modern Console'!$F$4=""))*((DATASET!$F26='5 · Modern Console'!$H$4)+('5 · Modern Console'!$H$4=""))*(DATASET!$G26&lt;&gt;""))&gt;0,1,0)</f>
        <v>1</v>
      </c>
      <c r="AV26">
        <f t="shared" si="36"/>
        <v>22</v>
      </c>
      <c r="AW26" s="103">
        <f>IF(AU26=1,DATASET!$I26,"")</f>
        <v>8500</v>
      </c>
      <c r="AX26" t="str">
        <f>IF(((((DATASET!$C26='5 · Modern Console'!$B$4)+('5 · Modern Console'!$B$4=""))*(DATASET!$D26&lt;&gt;"")*(DATASET!$G26&lt;&gt;""))*(SUMPRODUCT((DATASET!$D$2:$D25=DATASET!$D26)*((DATASET!$C$2:$C25='5 · Modern Console'!$B$4)+('5 · Modern Console'!$B$4=""))*(DATASET!$D$2:$D25&lt;&gt;"")*(DATASET!$G$2:$G25&lt;&gt;""))=0))&gt;0,DATASET!$D26,"")</f>
        <v/>
      </c>
      <c r="AY26" t="str">
        <f t="shared" si="37"/>
        <v/>
      </c>
      <c r="AZ26" t="str">
        <f>IF(((((DATASET!$C26='5 · Modern Console'!$B$4)+('5 · Modern Console'!$B$4=""))*((DATASET!$D26='5 · Modern Console'!$D$4)+('5 · Modern Console'!$D$4=""))*(DATASET!$E26&lt;&gt;"")*(DATASET!$G26&lt;&gt;""))*(SUMPRODUCT((DATASET!$E$2:$E25=DATASET!$E26)*((DATASET!$C$2:$C25='5 · Modern Console'!$B$4)+('5 · Modern Console'!$B$4=""))*((DATASET!$D$2:$D25='5 · Modern Console'!$D$4)+('5 · Modern Console'!$D$4=""))*(DATASET!$E$2:$E25&lt;&gt;"")*(DATASET!$G$2:$G25&lt;&gt;""))=0))&gt;0,DATASET!$E26,"")</f>
        <v xml:space="preserve">3) Verso imprese collegate</v>
      </c>
      <c r="BA26">
        <f t="shared" si="38"/>
        <v>3</v>
      </c>
      <c r="BB26" t="str">
        <f>IF(((((DATASET!$C26='5 · Modern Console'!$B$4)+('5 · Modern Console'!$B$4=""))*((DATASET!$D26='5 · Modern Console'!$D$4)+('5 · Modern Console'!$D$4=""))*((DATASET!$E26='5 · Modern Console'!$F$4)+('5 · Modern Console'!$F$4=""))*(DATASET!$F26&lt;&gt;"")*(DATASET!$G26&lt;&gt;""))*(SUMPRODUCT((DATASET!$F$2:$F25=DATASET!$F26)*((DATASET!$C$2:$C25='5 · Modern Console'!$B$4)+('5 · Modern Console'!$B$4=""))*((DATASET!$D$2:$D25='5 · Modern Console'!$D$4)+('5 · Modern Console'!$D$4=""))*((DATASET!$E$2:$E25='5 · Modern Console'!$F$4)+('5 · Modern Console'!$F$4=""))*(DATASET!$F$2:$F25&lt;&gt;"")*(DATASET!$G$2:$G25&lt;&gt;""))=0))&gt;0,DATASET!$F26,"")</f>
        <v/>
      </c>
      <c r="BC26" t="str">
        <f t="shared" si="39"/>
        <v/>
      </c>
    </row>
    <row r="27" ht="15" customHeight="1">
      <c r="C27">
        <f>IF((((DATASET!$C27='1 · Executive View'!$B$6)+('1 · Executive View'!$B$6=""))*((DATASET!$D27='1 · Executive View'!$D$6)+('1 · Executive View'!$D$6=""))*((DATASET!$E27='1 · Executive View'!$F$6)+('1 · Executive View'!$F$6=""))*((DATASET!$F27='1 · Executive View'!$H$6)+('1 · Executive View'!$H$6=""))*(DATASET!$G27&lt;&gt;""))&gt;0,1,0)</f>
        <v>1</v>
      </c>
      <c r="D27">
        <f t="shared" si="20"/>
        <v>5</v>
      </c>
      <c r="E27" s="103">
        <f>IF(C27=1,DATASET!$I27,"")</f>
        <v>167</v>
      </c>
      <c r="F27" t="str">
        <f>IF(((((DATASET!$C27='1 · Executive View'!$B$6)+('1 · Executive View'!$B$6=""))*(DATASET!$D27&lt;&gt;"")*(DATASET!$G27&lt;&gt;""))*(SUMPRODUCT((DATASET!$D$2:$D26=DATASET!$D27)*((DATASET!$C$2:$C26='1 · Executive View'!$B$6)+('1 · Executive View'!$B$6=""))*(DATASET!$D$2:$D26&lt;&gt;"")*(DATASET!$G$2:$G26&lt;&gt;""))=0))&gt;0,DATASET!$D27,"")</f>
        <v/>
      </c>
      <c r="G27" t="str">
        <f t="shared" si="21"/>
        <v/>
      </c>
      <c r="H27" t="str">
        <f>IF(((((DATASET!$C27='1 · Executive View'!$B$6)+('1 · Executive View'!$B$6=""))*((DATASET!$D27='1 · Executive View'!$D$6)+('1 · Executive View'!$D$6=""))*(DATASET!$E27&lt;&gt;"")*(DATASET!$G27&lt;&gt;""))*(SUMPRODUCT((DATASET!$E$2:$E26=DATASET!$E27)*((DATASET!$C$2:$C26='1 · Executive View'!$B$6)+('1 · Executive View'!$B$6=""))*((DATASET!$D$2:$D26='1 · Executive View'!$D$6)+('1 · Executive View'!$D$6=""))*(DATASET!$E$2:$E26&lt;&gt;"")*(DATASET!$G$2:$G26&lt;&gt;""))=0))&gt;0,DATASET!$E27,"")</f>
        <v xml:space="preserve">5-bis) Crediti tributari</v>
      </c>
      <c r="I27">
        <f t="shared" si="22"/>
        <v>3</v>
      </c>
      <c r="J27" t="str">
        <f>IF(((((DATASET!$C27='1 · Executive View'!$B$6)+('1 · Executive View'!$B$6=""))*((DATASET!$D27='1 · Executive View'!$D$6)+('1 · Executive View'!$D$6=""))*((DATASET!$E27='1 · Executive View'!$F$6)+('1 · Executive View'!$F$6=""))*(DATASET!$F27&lt;&gt;"")*(DATASET!$G27&lt;&gt;""))*(SUMPRODUCT((DATASET!$F$2:$F26=DATASET!$F27)*((DATASET!$C$2:$C26='1 · Executive View'!$B$6)+('1 · Executive View'!$B$6=""))*((DATASET!$D$2:$D26='1 · Executive View'!$D$6)+('1 · Executive View'!$D$6=""))*((DATASET!$E$2:$E26='1 · Executive View'!$F$6)+('1 · Executive View'!$F$6=""))*(DATASET!$F$2:$F26&lt;&gt;"")*(DATASET!$G$2:$G26&lt;&gt;""))=0))&gt;0,DATASET!$F27,"")</f>
        <v/>
      </c>
      <c r="K27" t="str">
        <f t="shared" si="23"/>
        <v/>
      </c>
      <c r="N27">
        <f>IF((((DATASET!$C27='2 · Sidebar Studio'!$B$7)+('2 · Sidebar Studio'!$B$7=""))*((DATASET!$D27='2 · Sidebar Studio'!$B$9)+('2 · Sidebar Studio'!$B$9=""))*((DATASET!$E27='2 · Sidebar Studio'!$B$11)+('2 · Sidebar Studio'!$B$11=""))*((DATASET!$F27='2 · Sidebar Studio'!$B$13)+('2 · Sidebar Studio'!$B$13=""))*(DATASET!$G27&lt;&gt;""))&gt;0,1,0)</f>
        <v>1</v>
      </c>
      <c r="O27">
        <f t="shared" si="24"/>
        <v>23</v>
      </c>
      <c r="P27" s="103">
        <f>IF(N27=1,DATASET!$I27,"")</f>
        <v>167</v>
      </c>
      <c r="Q27" t="str">
        <f>IF(((((DATASET!$C27='2 · Sidebar Studio'!$B$7)+('2 · Sidebar Studio'!$B$7=""))*(DATASET!$D27&lt;&gt;"")*(DATASET!$G27&lt;&gt;""))*(SUMPRODUCT((DATASET!$D$2:$D26=DATASET!$D27)*((DATASET!$C$2:$C26='2 · Sidebar Studio'!$B$7)+('2 · Sidebar Studio'!$B$7=""))*(DATASET!$D$2:$D26&lt;&gt;"")*(DATASET!$G$2:$G26&lt;&gt;""))=0))&gt;0,DATASET!$D27,"")</f>
        <v/>
      </c>
      <c r="R27" t="str">
        <f t="shared" si="25"/>
        <v/>
      </c>
      <c r="S27" t="str">
        <f>IF(((((DATASET!$C27='2 · Sidebar Studio'!$B$7)+('2 · Sidebar Studio'!$B$7=""))*((DATASET!$D27='2 · Sidebar Studio'!$B$9)+('2 · Sidebar Studio'!$B$9=""))*(DATASET!$E27&lt;&gt;"")*(DATASET!$G27&lt;&gt;""))*(SUMPRODUCT((DATASET!$E$2:$E26=DATASET!$E27)*((DATASET!$C$2:$C26='2 · Sidebar Studio'!$B$7)+('2 · Sidebar Studio'!$B$7=""))*((DATASET!$D$2:$D26='2 · Sidebar Studio'!$B$9)+('2 · Sidebar Studio'!$B$9=""))*(DATASET!$E$2:$E26&lt;&gt;"")*(DATASET!$G$2:$G26&lt;&gt;""))=0))&gt;0,DATASET!$E27,"")</f>
        <v xml:space="preserve">5-bis) Crediti tributari</v>
      </c>
      <c r="T27">
        <f t="shared" si="26"/>
        <v>4</v>
      </c>
      <c r="U27" t="str">
        <f>IF(((((DATASET!$C27='2 · Sidebar Studio'!$B$7)+('2 · Sidebar Studio'!$B$7=""))*((DATASET!$D27='2 · Sidebar Studio'!$B$9)+('2 · Sidebar Studio'!$B$9=""))*((DATASET!$E27='2 · Sidebar Studio'!$B$11)+('2 · Sidebar Studio'!$B$11=""))*(DATASET!$F27&lt;&gt;"")*(DATASET!$G27&lt;&gt;""))*(SUMPRODUCT((DATASET!$F$2:$F26=DATASET!$F27)*((DATASET!$C$2:$C26='2 · Sidebar Studio'!$B$7)+('2 · Sidebar Studio'!$B$7=""))*((DATASET!$D$2:$D26='2 · Sidebar Studio'!$B$9)+('2 · Sidebar Studio'!$B$9=""))*((DATASET!$E$2:$E26='2 · Sidebar Studio'!$B$11)+('2 · Sidebar Studio'!$B$11=""))*(DATASET!$F$2:$F26&lt;&gt;"")*(DATASET!$G$2:$G26&lt;&gt;""))=0))&gt;0,DATASET!$F27,"")</f>
        <v/>
      </c>
      <c r="V27" t="str">
        <f t="shared" si="27"/>
        <v/>
      </c>
      <c r="Y27">
        <f>IF((((DATASET!$C27='3 · KPI Cards'!$B$9)+('3 · KPI Cards'!$B$9=""))*((DATASET!$D27='3 · KPI Cards'!$D$9)+('3 · KPI Cards'!$D$9=""))*((DATASET!$E27='3 · KPI Cards'!$F$9)+('3 · KPI Cards'!$F$9=""))*((DATASET!$F27='3 · KPI Cards'!$H$9)+('3 · KPI Cards'!$H$9=""))*(DATASET!$G27&lt;&gt;""))&gt;0,1,0)</f>
        <v>1</v>
      </c>
      <c r="Z27">
        <f t="shared" si="28"/>
        <v>23</v>
      </c>
      <c r="AA27" s="103">
        <f>IF(Y27=1,DATASET!$I27,"")</f>
        <v>167</v>
      </c>
      <c r="AB27" t="str">
        <f>IF(((((DATASET!$C27='3 · KPI Cards'!$B$9)+('3 · KPI Cards'!$B$9=""))*(DATASET!$D27&lt;&gt;"")*(DATASET!$G27&lt;&gt;""))*(SUMPRODUCT((DATASET!$D$2:$D26=DATASET!$D27)*((DATASET!$C$2:$C26='3 · KPI Cards'!$B$9)+('3 · KPI Cards'!$B$9=""))*(DATASET!$D$2:$D26&lt;&gt;"")*(DATASET!$G$2:$G26&lt;&gt;""))=0))&gt;0,DATASET!$D27,"")</f>
        <v/>
      </c>
      <c r="AC27" t="str">
        <f t="shared" si="29"/>
        <v/>
      </c>
      <c r="AD27" t="str">
        <f>IF(((((DATASET!$C27='3 · KPI Cards'!$B$9)+('3 · KPI Cards'!$B$9=""))*((DATASET!$D27='3 · KPI Cards'!$D$9)+('3 · KPI Cards'!$D$9=""))*(DATASET!$E27&lt;&gt;"")*(DATASET!$G27&lt;&gt;""))*(SUMPRODUCT((DATASET!$E$2:$E26=DATASET!$E27)*((DATASET!$C$2:$C26='3 · KPI Cards'!$B$9)+('3 · KPI Cards'!$B$9=""))*((DATASET!$D$2:$D26='3 · KPI Cards'!$D$9)+('3 · KPI Cards'!$D$9=""))*(DATASET!$E$2:$E26&lt;&gt;"")*(DATASET!$G$2:$G26&lt;&gt;""))=0))&gt;0,DATASET!$E27,"")</f>
        <v xml:space="preserve">5-bis) Crediti tributari</v>
      </c>
      <c r="AE27">
        <f t="shared" si="30"/>
        <v>4</v>
      </c>
      <c r="AF27" t="str">
        <f>IF(((((DATASET!$C27='3 · KPI Cards'!$B$9)+('3 · KPI Cards'!$B$9=""))*((DATASET!$D27='3 · KPI Cards'!$D$9)+('3 · KPI Cards'!$D$9=""))*((DATASET!$E27='3 · KPI Cards'!$F$9)+('3 · KPI Cards'!$F$9=""))*(DATASET!$F27&lt;&gt;"")*(DATASET!$G27&lt;&gt;""))*(SUMPRODUCT((DATASET!$F$2:$F26=DATASET!$F27)*((DATASET!$C$2:$C26='3 · KPI Cards'!$B$9)+('3 · KPI Cards'!$B$9=""))*((DATASET!$D$2:$D26='3 · KPI Cards'!$D$9)+('3 · KPI Cards'!$D$9=""))*((DATASET!$E$2:$E26='3 · KPI Cards'!$F$9)+('3 · KPI Cards'!$F$9=""))*(DATASET!$F$2:$F26&lt;&gt;"")*(DATASET!$G$2:$G26&lt;&gt;""))=0))&gt;0,DATASET!$F27,"")</f>
        <v/>
      </c>
      <c r="AG27" t="str">
        <f t="shared" si="31"/>
        <v/>
      </c>
      <c r="AJ27">
        <f>IF((((DATASET!$C27='4 · Board Report'!$D$5)+('4 · Board Report'!$D$5=""))*((DATASET!$D27='4 · Board Report'!$D$6)+('4 · Board Report'!$D$6=""))*((DATASET!$E27='4 · Board Report'!$D$7)+('4 · Board Report'!$D$7=""))*((DATASET!$F27='4 · Board Report'!$D$8)+('4 · Board Report'!$D$8=""))*(DATASET!$G27&lt;&gt;""))&gt;0,1,0)</f>
        <v>1</v>
      </c>
      <c r="AK27">
        <f t="shared" si="32"/>
        <v>5</v>
      </c>
      <c r="AL27" s="103">
        <f>IF(AJ27=1,DATASET!$I27,"")</f>
        <v>167</v>
      </c>
      <c r="AM27" t="str">
        <f>IF(((((DATASET!$C27='4 · Board Report'!$D$5)+('4 · Board Report'!$D$5=""))*(DATASET!$D27&lt;&gt;"")*(DATASET!$G27&lt;&gt;""))*(SUMPRODUCT((DATASET!$D$2:$D26=DATASET!$D27)*((DATASET!$C$2:$C26='4 · Board Report'!$D$5)+('4 · Board Report'!$D$5=""))*(DATASET!$D$2:$D26&lt;&gt;"")*(DATASET!$G$2:$G26&lt;&gt;""))=0))&gt;0,DATASET!$D27,"")</f>
        <v/>
      </c>
      <c r="AN27" t="str">
        <f t="shared" si="33"/>
        <v/>
      </c>
      <c r="AO27" t="str">
        <f>IF(((((DATASET!$C27='4 · Board Report'!$D$5)+('4 · Board Report'!$D$5=""))*((DATASET!$D27='4 · Board Report'!$D$6)+('4 · Board Report'!$D$6=""))*(DATASET!$E27&lt;&gt;"")*(DATASET!$G27&lt;&gt;""))*(SUMPRODUCT((DATASET!$E$2:$E26=DATASET!$E27)*((DATASET!$C$2:$C26='4 · Board Report'!$D$5)+('4 · Board Report'!$D$5=""))*((DATASET!$D$2:$D26='4 · Board Report'!$D$6)+('4 · Board Report'!$D$6=""))*(DATASET!$E$2:$E26&lt;&gt;"")*(DATASET!$G$2:$G26&lt;&gt;""))=0))&gt;0,DATASET!$E27,"")</f>
        <v xml:space="preserve">5-bis) Crediti tributari</v>
      </c>
      <c r="AP27">
        <f t="shared" si="34"/>
        <v>3</v>
      </c>
      <c r="AQ27" t="str">
        <f>IF(((((DATASET!$C27='4 · Board Report'!$D$5)+('4 · Board Report'!$D$5=""))*((DATASET!$D27='4 · Board Report'!$D$6)+('4 · Board Report'!$D$6=""))*((DATASET!$E27='4 · Board Report'!$D$7)+('4 · Board Report'!$D$7=""))*(DATASET!$F27&lt;&gt;"")*(DATASET!$G27&lt;&gt;""))*(SUMPRODUCT((DATASET!$F$2:$F26=DATASET!$F27)*((DATASET!$C$2:$C26='4 · Board Report'!$D$5)+('4 · Board Report'!$D$5=""))*((DATASET!$D$2:$D26='4 · Board Report'!$D$6)+('4 · Board Report'!$D$6=""))*((DATASET!$E$2:$E26='4 · Board Report'!$D$7)+('4 · Board Report'!$D$7=""))*(DATASET!$F$2:$F26&lt;&gt;"")*(DATASET!$G$2:$G26&lt;&gt;""))=0))&gt;0,DATASET!$F27,"")</f>
        <v/>
      </c>
      <c r="AR27" t="str">
        <f t="shared" si="35"/>
        <v/>
      </c>
      <c r="AU27">
        <f>IF((((DATASET!$C27='5 · Modern Console'!$B$4)+('5 · Modern Console'!$B$4=""))*((DATASET!$D27='5 · Modern Console'!$D$4)+('5 · Modern Console'!$D$4=""))*((DATASET!$E27='5 · Modern Console'!$F$4)+('5 · Modern Console'!$F$4=""))*((DATASET!$F27='5 · Modern Console'!$H$4)+('5 · Modern Console'!$H$4=""))*(DATASET!$G27&lt;&gt;""))&gt;0,1,0)</f>
        <v>1</v>
      </c>
      <c r="AV27">
        <f t="shared" si="36"/>
        <v>23</v>
      </c>
      <c r="AW27" s="103">
        <f>IF(AU27=1,DATASET!$I27,"")</f>
        <v>167</v>
      </c>
      <c r="AX27" t="str">
        <f>IF(((((DATASET!$C27='5 · Modern Console'!$B$4)+('5 · Modern Console'!$B$4=""))*(DATASET!$D27&lt;&gt;"")*(DATASET!$G27&lt;&gt;""))*(SUMPRODUCT((DATASET!$D$2:$D26=DATASET!$D27)*((DATASET!$C$2:$C26='5 · Modern Console'!$B$4)+('5 · Modern Console'!$B$4=""))*(DATASET!$D$2:$D26&lt;&gt;"")*(DATASET!$G$2:$G26&lt;&gt;""))=0))&gt;0,DATASET!$D27,"")</f>
        <v/>
      </c>
      <c r="AY27" t="str">
        <f t="shared" si="37"/>
        <v/>
      </c>
      <c r="AZ27" t="str">
        <f>IF(((((DATASET!$C27='5 · Modern Console'!$B$4)+('5 · Modern Console'!$B$4=""))*((DATASET!$D27='5 · Modern Console'!$D$4)+('5 · Modern Console'!$D$4=""))*(DATASET!$E27&lt;&gt;"")*(DATASET!$G27&lt;&gt;""))*(SUMPRODUCT((DATASET!$E$2:$E26=DATASET!$E27)*((DATASET!$C$2:$C26='5 · Modern Console'!$B$4)+('5 · Modern Console'!$B$4=""))*((DATASET!$D$2:$D26='5 · Modern Console'!$D$4)+('5 · Modern Console'!$D$4=""))*(DATASET!$E$2:$E26&lt;&gt;"")*(DATASET!$G$2:$G26&lt;&gt;""))=0))&gt;0,DATASET!$E27,"")</f>
        <v xml:space="preserve">5-bis) Crediti tributari</v>
      </c>
      <c r="BA27">
        <f t="shared" si="38"/>
        <v>4</v>
      </c>
      <c r="BB27" t="str">
        <f>IF(((((DATASET!$C27='5 · Modern Console'!$B$4)+('5 · Modern Console'!$B$4=""))*((DATASET!$D27='5 · Modern Console'!$D$4)+('5 · Modern Console'!$D$4=""))*((DATASET!$E27='5 · Modern Console'!$F$4)+('5 · Modern Console'!$F$4=""))*(DATASET!$F27&lt;&gt;"")*(DATASET!$G27&lt;&gt;""))*(SUMPRODUCT((DATASET!$F$2:$F26=DATASET!$F27)*((DATASET!$C$2:$C26='5 · Modern Console'!$B$4)+('5 · Modern Console'!$B$4=""))*((DATASET!$D$2:$D26='5 · Modern Console'!$D$4)+('5 · Modern Console'!$D$4=""))*((DATASET!$E$2:$E26='5 · Modern Console'!$F$4)+('5 · Modern Console'!$F$4=""))*(DATASET!$F$2:$F26&lt;&gt;"")*(DATASET!$G$2:$G26&lt;&gt;""))=0))&gt;0,DATASET!$F27,"")</f>
        <v/>
      </c>
      <c r="BC27" t="str">
        <f t="shared" si="39"/>
        <v/>
      </c>
    </row>
    <row r="28" ht="15" customHeight="1">
      <c r="C28">
        <f>IF((((DATASET!$C28='1 · Executive View'!$B$6)+('1 · Executive View'!$B$6=""))*((DATASET!$D28='1 · Executive View'!$D$6)+('1 · Executive View'!$D$6=""))*((DATASET!$E28='1 · Executive View'!$F$6)+('1 · Executive View'!$F$6=""))*((DATASET!$F28='1 · Executive View'!$H$6)+('1 · Executive View'!$H$6=""))*(DATASET!$G28&lt;&gt;""))&gt;0,1,0)</f>
        <v>1</v>
      </c>
      <c r="D28">
        <f t="shared" si="20"/>
        <v>6</v>
      </c>
      <c r="E28" s="103">
        <f>IF(C28=1,DATASET!$I28,"")</f>
        <v>60907.199999999997</v>
      </c>
      <c r="F28" t="str">
        <f>IF(((((DATASET!$C28='1 · Executive View'!$B$6)+('1 · Executive View'!$B$6=""))*(DATASET!$D28&lt;&gt;"")*(DATASET!$G28&lt;&gt;""))*(SUMPRODUCT((DATASET!$D$2:$D27=DATASET!$D28)*((DATASET!$C$2:$C27='1 · Executive View'!$B$6)+('1 · Executive View'!$B$6=""))*(DATASET!$D$2:$D27&lt;&gt;"")*(DATASET!$G$2:$G27&lt;&gt;""))=0))&gt;0,DATASET!$D28,"")</f>
        <v/>
      </c>
      <c r="G28" t="str">
        <f t="shared" si="21"/>
        <v/>
      </c>
      <c r="H28" t="str">
        <f>IF(((((DATASET!$C28='1 · Executive View'!$B$6)+('1 · Executive View'!$B$6=""))*((DATASET!$D28='1 · Executive View'!$D$6)+('1 · Executive View'!$D$6=""))*(DATASET!$E28&lt;&gt;"")*(DATASET!$G28&lt;&gt;""))*(SUMPRODUCT((DATASET!$E$2:$E27=DATASET!$E28)*((DATASET!$C$2:$C27='1 · Executive View'!$B$6)+('1 · Executive View'!$B$6=""))*((DATASET!$D$2:$D27='1 · Executive View'!$D$6)+('1 · Executive View'!$D$6=""))*(DATASET!$E$2:$E27&lt;&gt;"")*(DATASET!$G$2:$G27&lt;&gt;""))=0))&gt;0,DATASET!$E28,"")</f>
        <v/>
      </c>
      <c r="I28" t="str">
        <f t="shared" si="22"/>
        <v/>
      </c>
      <c r="J28" t="str">
        <f>IF(((((DATASET!$C28='1 · Executive View'!$B$6)+('1 · Executive View'!$B$6=""))*((DATASET!$D28='1 · Executive View'!$D$6)+('1 · Executive View'!$D$6=""))*((DATASET!$E28='1 · Executive View'!$F$6)+('1 · Executive View'!$F$6=""))*(DATASET!$F28&lt;&gt;"")*(DATASET!$G28&lt;&gt;""))*(SUMPRODUCT((DATASET!$F$2:$F27=DATASET!$F28)*((DATASET!$C$2:$C27='1 · Executive View'!$B$6)+('1 · Executive View'!$B$6=""))*((DATASET!$D$2:$D27='1 · Executive View'!$D$6)+('1 · Executive View'!$D$6=""))*((DATASET!$E$2:$E27='1 · Executive View'!$F$6)+('1 · Executive View'!$F$6=""))*(DATASET!$F$2:$F27&lt;&gt;"")*(DATASET!$G$2:$G27&lt;&gt;""))=0))&gt;0,DATASET!$F28,"")</f>
        <v/>
      </c>
      <c r="K28" t="str">
        <f t="shared" si="23"/>
        <v/>
      </c>
      <c r="N28">
        <f>IF((((DATASET!$C28='2 · Sidebar Studio'!$B$7)+('2 · Sidebar Studio'!$B$7=""))*((DATASET!$D28='2 · Sidebar Studio'!$B$9)+('2 · Sidebar Studio'!$B$9=""))*((DATASET!$E28='2 · Sidebar Studio'!$B$11)+('2 · Sidebar Studio'!$B$11=""))*((DATASET!$F28='2 · Sidebar Studio'!$B$13)+('2 · Sidebar Studio'!$B$13=""))*(DATASET!$G28&lt;&gt;""))&gt;0,1,0)</f>
        <v>1</v>
      </c>
      <c r="O28">
        <f t="shared" si="24"/>
        <v>24</v>
      </c>
      <c r="P28" s="103">
        <f>IF(N28=1,DATASET!$I28,"")</f>
        <v>60907.199999999997</v>
      </c>
      <c r="Q28" t="str">
        <f>IF(((((DATASET!$C28='2 · Sidebar Studio'!$B$7)+('2 · Sidebar Studio'!$B$7=""))*(DATASET!$D28&lt;&gt;"")*(DATASET!$G28&lt;&gt;""))*(SUMPRODUCT((DATASET!$D$2:$D27=DATASET!$D28)*((DATASET!$C$2:$C27='2 · Sidebar Studio'!$B$7)+('2 · Sidebar Studio'!$B$7=""))*(DATASET!$D$2:$D27&lt;&gt;"")*(DATASET!$G$2:$G27&lt;&gt;""))=0))&gt;0,DATASET!$D28,"")</f>
        <v/>
      </c>
      <c r="R28" t="str">
        <f t="shared" si="25"/>
        <v/>
      </c>
      <c r="S28" t="str">
        <f>IF(((((DATASET!$C28='2 · Sidebar Studio'!$B$7)+('2 · Sidebar Studio'!$B$7=""))*((DATASET!$D28='2 · Sidebar Studio'!$B$9)+('2 · Sidebar Studio'!$B$9=""))*(DATASET!$E28&lt;&gt;"")*(DATASET!$G28&lt;&gt;""))*(SUMPRODUCT((DATASET!$E$2:$E27=DATASET!$E28)*((DATASET!$C$2:$C27='2 · Sidebar Studio'!$B$7)+('2 · Sidebar Studio'!$B$7=""))*((DATASET!$D$2:$D27='2 · Sidebar Studio'!$B$9)+('2 · Sidebar Studio'!$B$9=""))*(DATASET!$E$2:$E27&lt;&gt;"")*(DATASET!$G$2:$G27&lt;&gt;""))=0))&gt;0,DATASET!$E28,"")</f>
        <v/>
      </c>
      <c r="T28" t="str">
        <f t="shared" si="26"/>
        <v/>
      </c>
      <c r="U28" t="str">
        <f>IF(((((DATASET!$C28='2 · Sidebar Studio'!$B$7)+('2 · Sidebar Studio'!$B$7=""))*((DATASET!$D28='2 · Sidebar Studio'!$B$9)+('2 · Sidebar Studio'!$B$9=""))*((DATASET!$E28='2 · Sidebar Studio'!$B$11)+('2 · Sidebar Studio'!$B$11=""))*(DATASET!$F28&lt;&gt;"")*(DATASET!$G28&lt;&gt;""))*(SUMPRODUCT((DATASET!$F$2:$F27=DATASET!$F28)*((DATASET!$C$2:$C27='2 · Sidebar Studio'!$B$7)+('2 · Sidebar Studio'!$B$7=""))*((DATASET!$D$2:$D27='2 · Sidebar Studio'!$B$9)+('2 · Sidebar Studio'!$B$9=""))*((DATASET!$E$2:$E27='2 · Sidebar Studio'!$B$11)+('2 · Sidebar Studio'!$B$11=""))*(DATASET!$F$2:$F27&lt;&gt;"")*(DATASET!$G$2:$G27&lt;&gt;""))=0))&gt;0,DATASET!$F28,"")</f>
        <v/>
      </c>
      <c r="V28" t="str">
        <f t="shared" si="27"/>
        <v/>
      </c>
      <c r="Y28">
        <f>IF((((DATASET!$C28='3 · KPI Cards'!$B$9)+('3 · KPI Cards'!$B$9=""))*((DATASET!$D28='3 · KPI Cards'!$D$9)+('3 · KPI Cards'!$D$9=""))*((DATASET!$E28='3 · KPI Cards'!$F$9)+('3 · KPI Cards'!$F$9=""))*((DATASET!$F28='3 · KPI Cards'!$H$9)+('3 · KPI Cards'!$H$9=""))*(DATASET!$G28&lt;&gt;""))&gt;0,1,0)</f>
        <v>1</v>
      </c>
      <c r="Z28">
        <f t="shared" si="28"/>
        <v>24</v>
      </c>
      <c r="AA28" s="103">
        <f>IF(Y28=1,DATASET!$I28,"")</f>
        <v>60907.199999999997</v>
      </c>
      <c r="AB28" t="str">
        <f>IF(((((DATASET!$C28='3 · KPI Cards'!$B$9)+('3 · KPI Cards'!$B$9=""))*(DATASET!$D28&lt;&gt;"")*(DATASET!$G28&lt;&gt;""))*(SUMPRODUCT((DATASET!$D$2:$D27=DATASET!$D28)*((DATASET!$C$2:$C27='3 · KPI Cards'!$B$9)+('3 · KPI Cards'!$B$9=""))*(DATASET!$D$2:$D27&lt;&gt;"")*(DATASET!$G$2:$G27&lt;&gt;""))=0))&gt;0,DATASET!$D28,"")</f>
        <v/>
      </c>
      <c r="AC28" t="str">
        <f t="shared" si="29"/>
        <v/>
      </c>
      <c r="AD28" t="str">
        <f>IF(((((DATASET!$C28='3 · KPI Cards'!$B$9)+('3 · KPI Cards'!$B$9=""))*((DATASET!$D28='3 · KPI Cards'!$D$9)+('3 · KPI Cards'!$D$9=""))*(DATASET!$E28&lt;&gt;"")*(DATASET!$G28&lt;&gt;""))*(SUMPRODUCT((DATASET!$E$2:$E27=DATASET!$E28)*((DATASET!$C$2:$C27='3 · KPI Cards'!$B$9)+('3 · KPI Cards'!$B$9=""))*((DATASET!$D$2:$D27='3 · KPI Cards'!$D$9)+('3 · KPI Cards'!$D$9=""))*(DATASET!$E$2:$E27&lt;&gt;"")*(DATASET!$G$2:$G27&lt;&gt;""))=0))&gt;0,DATASET!$E28,"")</f>
        <v/>
      </c>
      <c r="AE28" t="str">
        <f t="shared" si="30"/>
        <v/>
      </c>
      <c r="AF28" t="str">
        <f>IF(((((DATASET!$C28='3 · KPI Cards'!$B$9)+('3 · KPI Cards'!$B$9=""))*((DATASET!$D28='3 · KPI Cards'!$D$9)+('3 · KPI Cards'!$D$9=""))*((DATASET!$E28='3 · KPI Cards'!$F$9)+('3 · KPI Cards'!$F$9=""))*(DATASET!$F28&lt;&gt;"")*(DATASET!$G28&lt;&gt;""))*(SUMPRODUCT((DATASET!$F$2:$F27=DATASET!$F28)*((DATASET!$C$2:$C27='3 · KPI Cards'!$B$9)+('3 · KPI Cards'!$B$9=""))*((DATASET!$D$2:$D27='3 · KPI Cards'!$D$9)+('3 · KPI Cards'!$D$9=""))*((DATASET!$E$2:$E27='3 · KPI Cards'!$F$9)+('3 · KPI Cards'!$F$9=""))*(DATASET!$F$2:$F27&lt;&gt;"")*(DATASET!$G$2:$G27&lt;&gt;""))=0))&gt;0,DATASET!$F28,"")</f>
        <v/>
      </c>
      <c r="AG28" t="str">
        <f t="shared" si="31"/>
        <v/>
      </c>
      <c r="AJ28">
        <f>IF((((DATASET!$C28='4 · Board Report'!$D$5)+('4 · Board Report'!$D$5=""))*((DATASET!$D28='4 · Board Report'!$D$6)+('4 · Board Report'!$D$6=""))*((DATASET!$E28='4 · Board Report'!$D$7)+('4 · Board Report'!$D$7=""))*((DATASET!$F28='4 · Board Report'!$D$8)+('4 · Board Report'!$D$8=""))*(DATASET!$G28&lt;&gt;""))&gt;0,1,0)</f>
        <v>1</v>
      </c>
      <c r="AK28">
        <f t="shared" si="32"/>
        <v>6</v>
      </c>
      <c r="AL28" s="103">
        <f>IF(AJ28=1,DATASET!$I28,"")</f>
        <v>60907.199999999997</v>
      </c>
      <c r="AM28" t="str">
        <f>IF(((((DATASET!$C28='4 · Board Report'!$D$5)+('4 · Board Report'!$D$5=""))*(DATASET!$D28&lt;&gt;"")*(DATASET!$G28&lt;&gt;""))*(SUMPRODUCT((DATASET!$D$2:$D27=DATASET!$D28)*((DATASET!$C$2:$C27='4 · Board Report'!$D$5)+('4 · Board Report'!$D$5=""))*(DATASET!$D$2:$D27&lt;&gt;"")*(DATASET!$G$2:$G27&lt;&gt;""))=0))&gt;0,DATASET!$D28,"")</f>
        <v/>
      </c>
      <c r="AN28" t="str">
        <f t="shared" si="33"/>
        <v/>
      </c>
      <c r="AO28" t="str">
        <f>IF(((((DATASET!$C28='4 · Board Report'!$D$5)+('4 · Board Report'!$D$5=""))*((DATASET!$D28='4 · Board Report'!$D$6)+('4 · Board Report'!$D$6=""))*(DATASET!$E28&lt;&gt;"")*(DATASET!$G28&lt;&gt;""))*(SUMPRODUCT((DATASET!$E$2:$E27=DATASET!$E28)*((DATASET!$C$2:$C27='4 · Board Report'!$D$5)+('4 · Board Report'!$D$5=""))*((DATASET!$D$2:$D27='4 · Board Report'!$D$6)+('4 · Board Report'!$D$6=""))*(DATASET!$E$2:$E27&lt;&gt;"")*(DATASET!$G$2:$G27&lt;&gt;""))=0))&gt;0,DATASET!$E28,"")</f>
        <v/>
      </c>
      <c r="AP28" t="str">
        <f t="shared" si="34"/>
        <v/>
      </c>
      <c r="AQ28" t="str">
        <f>IF(((((DATASET!$C28='4 · Board Report'!$D$5)+('4 · Board Report'!$D$5=""))*((DATASET!$D28='4 · Board Report'!$D$6)+('4 · Board Report'!$D$6=""))*((DATASET!$E28='4 · Board Report'!$D$7)+('4 · Board Report'!$D$7=""))*(DATASET!$F28&lt;&gt;"")*(DATASET!$G28&lt;&gt;""))*(SUMPRODUCT((DATASET!$F$2:$F27=DATASET!$F28)*((DATASET!$C$2:$C27='4 · Board Report'!$D$5)+('4 · Board Report'!$D$5=""))*((DATASET!$D$2:$D27='4 · Board Report'!$D$6)+('4 · Board Report'!$D$6=""))*((DATASET!$E$2:$E27='4 · Board Report'!$D$7)+('4 · Board Report'!$D$7=""))*(DATASET!$F$2:$F27&lt;&gt;"")*(DATASET!$G$2:$G27&lt;&gt;""))=0))&gt;0,DATASET!$F28,"")</f>
        <v/>
      </c>
      <c r="AR28" t="str">
        <f t="shared" si="35"/>
        <v/>
      </c>
      <c r="AU28">
        <f>IF((((DATASET!$C28='5 · Modern Console'!$B$4)+('5 · Modern Console'!$B$4=""))*((DATASET!$D28='5 · Modern Console'!$D$4)+('5 · Modern Console'!$D$4=""))*((DATASET!$E28='5 · Modern Console'!$F$4)+('5 · Modern Console'!$F$4=""))*((DATASET!$F28='5 · Modern Console'!$H$4)+('5 · Modern Console'!$H$4=""))*(DATASET!$G28&lt;&gt;""))&gt;0,1,0)</f>
        <v>1</v>
      </c>
      <c r="AV28">
        <f t="shared" si="36"/>
        <v>24</v>
      </c>
      <c r="AW28" s="103">
        <f>IF(AU28=1,DATASET!$I28,"")</f>
        <v>60907.199999999997</v>
      </c>
      <c r="AX28" t="str">
        <f>IF(((((DATASET!$C28='5 · Modern Console'!$B$4)+('5 · Modern Console'!$B$4=""))*(DATASET!$D28&lt;&gt;"")*(DATASET!$G28&lt;&gt;""))*(SUMPRODUCT((DATASET!$D$2:$D27=DATASET!$D28)*((DATASET!$C$2:$C27='5 · Modern Console'!$B$4)+('5 · Modern Console'!$B$4=""))*(DATASET!$D$2:$D27&lt;&gt;"")*(DATASET!$G$2:$G27&lt;&gt;""))=0))&gt;0,DATASET!$D28,"")</f>
        <v/>
      </c>
      <c r="AY28" t="str">
        <f t="shared" si="37"/>
        <v/>
      </c>
      <c r="AZ28" t="str">
        <f>IF(((((DATASET!$C28='5 · Modern Console'!$B$4)+('5 · Modern Console'!$B$4=""))*((DATASET!$D28='5 · Modern Console'!$D$4)+('5 · Modern Console'!$D$4=""))*(DATASET!$E28&lt;&gt;"")*(DATASET!$G28&lt;&gt;""))*(SUMPRODUCT((DATASET!$E$2:$E27=DATASET!$E28)*((DATASET!$C$2:$C27='5 · Modern Console'!$B$4)+('5 · Modern Console'!$B$4=""))*((DATASET!$D$2:$D27='5 · Modern Console'!$D$4)+('5 · Modern Console'!$D$4=""))*(DATASET!$E$2:$E27&lt;&gt;"")*(DATASET!$G$2:$G27&lt;&gt;""))=0))&gt;0,DATASET!$E28,"")</f>
        <v/>
      </c>
      <c r="BA28" t="str">
        <f t="shared" si="38"/>
        <v/>
      </c>
      <c r="BB28" t="str">
        <f>IF(((((DATASET!$C28='5 · Modern Console'!$B$4)+('5 · Modern Console'!$B$4=""))*((DATASET!$D28='5 · Modern Console'!$D$4)+('5 · Modern Console'!$D$4=""))*((DATASET!$E28='5 · Modern Console'!$F$4)+('5 · Modern Console'!$F$4=""))*(DATASET!$F28&lt;&gt;"")*(DATASET!$G28&lt;&gt;""))*(SUMPRODUCT((DATASET!$F$2:$F27=DATASET!$F28)*((DATASET!$C$2:$C27='5 · Modern Console'!$B$4)+('5 · Modern Console'!$B$4=""))*((DATASET!$D$2:$D27='5 · Modern Console'!$D$4)+('5 · Modern Console'!$D$4=""))*((DATASET!$E$2:$E27='5 · Modern Console'!$F$4)+('5 · Modern Console'!$F$4=""))*(DATASET!$F$2:$F27&lt;&gt;"")*(DATASET!$G$2:$G27&lt;&gt;""))=0))&gt;0,DATASET!$F28,"")</f>
        <v/>
      </c>
      <c r="BC28" t="str">
        <f t="shared" si="39"/>
        <v/>
      </c>
    </row>
    <row r="29" ht="15" customHeight="1">
      <c r="C29">
        <f>IF((((DATASET!$C29='1 · Executive View'!$B$6)+('1 · Executive View'!$B$6=""))*((DATASET!$D29='1 · Executive View'!$D$6)+('1 · Executive View'!$D$6=""))*((DATASET!$E29='1 · Executive View'!$F$6)+('1 · Executive View'!$F$6=""))*((DATASET!$F29='1 · Executive View'!$H$6)+('1 · Executive View'!$H$6=""))*(DATASET!$G29&lt;&gt;""))&gt;0,1,0)</f>
        <v>1</v>
      </c>
      <c r="D29">
        <f t="shared" si="20"/>
        <v>7</v>
      </c>
      <c r="E29" s="103">
        <f>IF(C29=1,DATASET!$I29,"")</f>
        <v>5403.04</v>
      </c>
      <c r="F29" t="str">
        <f>IF(((((DATASET!$C29='1 · Executive View'!$B$6)+('1 · Executive View'!$B$6=""))*(DATASET!$D29&lt;&gt;"")*(DATASET!$G29&lt;&gt;""))*(SUMPRODUCT((DATASET!$D$2:$D28=DATASET!$D29)*((DATASET!$C$2:$C28='1 · Executive View'!$B$6)+('1 · Executive View'!$B$6=""))*(DATASET!$D$2:$D28&lt;&gt;"")*(DATASET!$G$2:$G28&lt;&gt;""))=0))&gt;0,DATASET!$D29,"")</f>
        <v/>
      </c>
      <c r="G29" t="str">
        <f t="shared" si="21"/>
        <v/>
      </c>
      <c r="H29" t="str">
        <f>IF(((((DATASET!$C29='1 · Executive View'!$B$6)+('1 · Executive View'!$B$6=""))*((DATASET!$D29='1 · Executive View'!$D$6)+('1 · Executive View'!$D$6=""))*(DATASET!$E29&lt;&gt;"")*(DATASET!$G29&lt;&gt;""))*(SUMPRODUCT((DATASET!$E$2:$E28=DATASET!$E29)*((DATASET!$C$2:$C28='1 · Executive View'!$B$6)+('1 · Executive View'!$B$6=""))*((DATASET!$D$2:$D28='1 · Executive View'!$D$6)+('1 · Executive View'!$D$6=""))*(DATASET!$E$2:$E28&lt;&gt;"")*(DATASET!$G$2:$G28&lt;&gt;""))=0))&gt;0,DATASET!$E29,"")</f>
        <v xml:space="preserve">5-ter) Imposte anticipate</v>
      </c>
      <c r="I29">
        <f t="shared" si="22"/>
        <v>4</v>
      </c>
      <c r="J29" t="str">
        <f>IF(((((DATASET!$C29='1 · Executive View'!$B$6)+('1 · Executive View'!$B$6=""))*((DATASET!$D29='1 · Executive View'!$D$6)+('1 · Executive View'!$D$6=""))*((DATASET!$E29='1 · Executive View'!$F$6)+('1 · Executive View'!$F$6=""))*(DATASET!$F29&lt;&gt;"")*(DATASET!$G29&lt;&gt;""))*(SUMPRODUCT((DATASET!$F$2:$F28=DATASET!$F29)*((DATASET!$C$2:$C28='1 · Executive View'!$B$6)+('1 · Executive View'!$B$6=""))*((DATASET!$D$2:$D28='1 · Executive View'!$D$6)+('1 · Executive View'!$D$6=""))*((DATASET!$E$2:$E28='1 · Executive View'!$F$6)+('1 · Executive View'!$F$6=""))*(DATASET!$F$2:$F28&lt;&gt;"")*(DATASET!$G$2:$G28&lt;&gt;""))=0))&gt;0,DATASET!$F29,"")</f>
        <v/>
      </c>
      <c r="K29" t="str">
        <f t="shared" si="23"/>
        <v/>
      </c>
      <c r="N29">
        <f>IF((((DATASET!$C29='2 · Sidebar Studio'!$B$7)+('2 · Sidebar Studio'!$B$7=""))*((DATASET!$D29='2 · Sidebar Studio'!$B$9)+('2 · Sidebar Studio'!$B$9=""))*((DATASET!$E29='2 · Sidebar Studio'!$B$11)+('2 · Sidebar Studio'!$B$11=""))*((DATASET!$F29='2 · Sidebar Studio'!$B$13)+('2 · Sidebar Studio'!$B$13=""))*(DATASET!$G29&lt;&gt;""))&gt;0,1,0)</f>
        <v>1</v>
      </c>
      <c r="O29">
        <f t="shared" si="24"/>
        <v>25</v>
      </c>
      <c r="P29" s="103">
        <f>IF(N29=1,DATASET!$I29,"")</f>
        <v>5403.04</v>
      </c>
      <c r="Q29" t="str">
        <f>IF(((((DATASET!$C29='2 · Sidebar Studio'!$B$7)+('2 · Sidebar Studio'!$B$7=""))*(DATASET!$D29&lt;&gt;"")*(DATASET!$G29&lt;&gt;""))*(SUMPRODUCT((DATASET!$D$2:$D28=DATASET!$D29)*((DATASET!$C$2:$C28='2 · Sidebar Studio'!$B$7)+('2 · Sidebar Studio'!$B$7=""))*(DATASET!$D$2:$D28&lt;&gt;"")*(DATASET!$G$2:$G28&lt;&gt;""))=0))&gt;0,DATASET!$D29,"")</f>
        <v/>
      </c>
      <c r="R29" t="str">
        <f t="shared" si="25"/>
        <v/>
      </c>
      <c r="S29" t="str">
        <f>IF(((((DATASET!$C29='2 · Sidebar Studio'!$B$7)+('2 · Sidebar Studio'!$B$7=""))*((DATASET!$D29='2 · Sidebar Studio'!$B$9)+('2 · Sidebar Studio'!$B$9=""))*(DATASET!$E29&lt;&gt;"")*(DATASET!$G29&lt;&gt;""))*(SUMPRODUCT((DATASET!$E$2:$E28=DATASET!$E29)*((DATASET!$C$2:$C28='2 · Sidebar Studio'!$B$7)+('2 · Sidebar Studio'!$B$7=""))*((DATASET!$D$2:$D28='2 · Sidebar Studio'!$B$9)+('2 · Sidebar Studio'!$B$9=""))*(DATASET!$E$2:$E28&lt;&gt;"")*(DATASET!$G$2:$G28&lt;&gt;""))=0))&gt;0,DATASET!$E29,"")</f>
        <v xml:space="preserve">5-ter) Imposte anticipate</v>
      </c>
      <c r="T29">
        <f t="shared" si="26"/>
        <v>5</v>
      </c>
      <c r="U29" t="str">
        <f>IF(((((DATASET!$C29='2 · Sidebar Studio'!$B$7)+('2 · Sidebar Studio'!$B$7=""))*((DATASET!$D29='2 · Sidebar Studio'!$B$9)+('2 · Sidebar Studio'!$B$9=""))*((DATASET!$E29='2 · Sidebar Studio'!$B$11)+('2 · Sidebar Studio'!$B$11=""))*(DATASET!$F29&lt;&gt;"")*(DATASET!$G29&lt;&gt;""))*(SUMPRODUCT((DATASET!$F$2:$F28=DATASET!$F29)*((DATASET!$C$2:$C28='2 · Sidebar Studio'!$B$7)+('2 · Sidebar Studio'!$B$7=""))*((DATASET!$D$2:$D28='2 · Sidebar Studio'!$B$9)+('2 · Sidebar Studio'!$B$9=""))*((DATASET!$E$2:$E28='2 · Sidebar Studio'!$B$11)+('2 · Sidebar Studio'!$B$11=""))*(DATASET!$F$2:$F28&lt;&gt;"")*(DATASET!$G$2:$G28&lt;&gt;""))=0))&gt;0,DATASET!$F29,"")</f>
        <v/>
      </c>
      <c r="V29" t="str">
        <f t="shared" si="27"/>
        <v/>
      </c>
      <c r="Y29">
        <f>IF((((DATASET!$C29='3 · KPI Cards'!$B$9)+('3 · KPI Cards'!$B$9=""))*((DATASET!$D29='3 · KPI Cards'!$D$9)+('3 · KPI Cards'!$D$9=""))*((DATASET!$E29='3 · KPI Cards'!$F$9)+('3 · KPI Cards'!$F$9=""))*((DATASET!$F29='3 · KPI Cards'!$H$9)+('3 · KPI Cards'!$H$9=""))*(DATASET!$G29&lt;&gt;""))&gt;0,1,0)</f>
        <v>1</v>
      </c>
      <c r="Z29">
        <f t="shared" si="28"/>
        <v>25</v>
      </c>
      <c r="AA29" s="103">
        <f>IF(Y29=1,DATASET!$I29,"")</f>
        <v>5403.04</v>
      </c>
      <c r="AB29" t="str">
        <f>IF(((((DATASET!$C29='3 · KPI Cards'!$B$9)+('3 · KPI Cards'!$B$9=""))*(DATASET!$D29&lt;&gt;"")*(DATASET!$G29&lt;&gt;""))*(SUMPRODUCT((DATASET!$D$2:$D28=DATASET!$D29)*((DATASET!$C$2:$C28='3 · KPI Cards'!$B$9)+('3 · KPI Cards'!$B$9=""))*(DATASET!$D$2:$D28&lt;&gt;"")*(DATASET!$G$2:$G28&lt;&gt;""))=0))&gt;0,DATASET!$D29,"")</f>
        <v/>
      </c>
      <c r="AC29" t="str">
        <f t="shared" si="29"/>
        <v/>
      </c>
      <c r="AD29" t="str">
        <f>IF(((((DATASET!$C29='3 · KPI Cards'!$B$9)+('3 · KPI Cards'!$B$9=""))*((DATASET!$D29='3 · KPI Cards'!$D$9)+('3 · KPI Cards'!$D$9=""))*(DATASET!$E29&lt;&gt;"")*(DATASET!$G29&lt;&gt;""))*(SUMPRODUCT((DATASET!$E$2:$E28=DATASET!$E29)*((DATASET!$C$2:$C28='3 · KPI Cards'!$B$9)+('3 · KPI Cards'!$B$9=""))*((DATASET!$D$2:$D28='3 · KPI Cards'!$D$9)+('3 · KPI Cards'!$D$9=""))*(DATASET!$E$2:$E28&lt;&gt;"")*(DATASET!$G$2:$G28&lt;&gt;""))=0))&gt;0,DATASET!$E29,"")</f>
        <v xml:space="preserve">5-ter) Imposte anticipate</v>
      </c>
      <c r="AE29">
        <f t="shared" si="30"/>
        <v>5</v>
      </c>
      <c r="AF29" t="str">
        <f>IF(((((DATASET!$C29='3 · KPI Cards'!$B$9)+('3 · KPI Cards'!$B$9=""))*((DATASET!$D29='3 · KPI Cards'!$D$9)+('3 · KPI Cards'!$D$9=""))*((DATASET!$E29='3 · KPI Cards'!$F$9)+('3 · KPI Cards'!$F$9=""))*(DATASET!$F29&lt;&gt;"")*(DATASET!$G29&lt;&gt;""))*(SUMPRODUCT((DATASET!$F$2:$F28=DATASET!$F29)*((DATASET!$C$2:$C28='3 · KPI Cards'!$B$9)+('3 · KPI Cards'!$B$9=""))*((DATASET!$D$2:$D28='3 · KPI Cards'!$D$9)+('3 · KPI Cards'!$D$9=""))*((DATASET!$E$2:$E28='3 · KPI Cards'!$F$9)+('3 · KPI Cards'!$F$9=""))*(DATASET!$F$2:$F28&lt;&gt;"")*(DATASET!$G$2:$G28&lt;&gt;""))=0))&gt;0,DATASET!$F29,"")</f>
        <v/>
      </c>
      <c r="AG29" t="str">
        <f t="shared" si="31"/>
        <v/>
      </c>
      <c r="AJ29">
        <f>IF((((DATASET!$C29='4 · Board Report'!$D$5)+('4 · Board Report'!$D$5=""))*((DATASET!$D29='4 · Board Report'!$D$6)+('4 · Board Report'!$D$6=""))*((DATASET!$E29='4 · Board Report'!$D$7)+('4 · Board Report'!$D$7=""))*((DATASET!$F29='4 · Board Report'!$D$8)+('4 · Board Report'!$D$8=""))*(DATASET!$G29&lt;&gt;""))&gt;0,1,0)</f>
        <v>1</v>
      </c>
      <c r="AK29">
        <f t="shared" si="32"/>
        <v>7</v>
      </c>
      <c r="AL29" s="103">
        <f>IF(AJ29=1,DATASET!$I29,"")</f>
        <v>5403.04</v>
      </c>
      <c r="AM29" t="str">
        <f>IF(((((DATASET!$C29='4 · Board Report'!$D$5)+('4 · Board Report'!$D$5=""))*(DATASET!$D29&lt;&gt;"")*(DATASET!$G29&lt;&gt;""))*(SUMPRODUCT((DATASET!$D$2:$D28=DATASET!$D29)*((DATASET!$C$2:$C28='4 · Board Report'!$D$5)+('4 · Board Report'!$D$5=""))*(DATASET!$D$2:$D28&lt;&gt;"")*(DATASET!$G$2:$G28&lt;&gt;""))=0))&gt;0,DATASET!$D29,"")</f>
        <v/>
      </c>
      <c r="AN29" t="str">
        <f t="shared" si="33"/>
        <v/>
      </c>
      <c r="AO29" t="str">
        <f>IF(((((DATASET!$C29='4 · Board Report'!$D$5)+('4 · Board Report'!$D$5=""))*((DATASET!$D29='4 · Board Report'!$D$6)+('4 · Board Report'!$D$6=""))*(DATASET!$E29&lt;&gt;"")*(DATASET!$G29&lt;&gt;""))*(SUMPRODUCT((DATASET!$E$2:$E28=DATASET!$E29)*((DATASET!$C$2:$C28='4 · Board Report'!$D$5)+('4 · Board Report'!$D$5=""))*((DATASET!$D$2:$D28='4 · Board Report'!$D$6)+('4 · Board Report'!$D$6=""))*(DATASET!$E$2:$E28&lt;&gt;"")*(DATASET!$G$2:$G28&lt;&gt;""))=0))&gt;0,DATASET!$E29,"")</f>
        <v xml:space="preserve">5-ter) Imposte anticipate</v>
      </c>
      <c r="AP29">
        <f t="shared" si="34"/>
        <v>4</v>
      </c>
      <c r="AQ29" t="str">
        <f>IF(((((DATASET!$C29='4 · Board Report'!$D$5)+('4 · Board Report'!$D$5=""))*((DATASET!$D29='4 · Board Report'!$D$6)+('4 · Board Report'!$D$6=""))*((DATASET!$E29='4 · Board Report'!$D$7)+('4 · Board Report'!$D$7=""))*(DATASET!$F29&lt;&gt;"")*(DATASET!$G29&lt;&gt;""))*(SUMPRODUCT((DATASET!$F$2:$F28=DATASET!$F29)*((DATASET!$C$2:$C28='4 · Board Report'!$D$5)+('4 · Board Report'!$D$5=""))*((DATASET!$D$2:$D28='4 · Board Report'!$D$6)+('4 · Board Report'!$D$6=""))*((DATASET!$E$2:$E28='4 · Board Report'!$D$7)+('4 · Board Report'!$D$7=""))*(DATASET!$F$2:$F28&lt;&gt;"")*(DATASET!$G$2:$G28&lt;&gt;""))=0))&gt;0,DATASET!$F29,"")</f>
        <v/>
      </c>
      <c r="AR29" t="str">
        <f t="shared" si="35"/>
        <v/>
      </c>
      <c r="AU29">
        <f>IF((((DATASET!$C29='5 · Modern Console'!$B$4)+('5 · Modern Console'!$B$4=""))*((DATASET!$D29='5 · Modern Console'!$D$4)+('5 · Modern Console'!$D$4=""))*((DATASET!$E29='5 · Modern Console'!$F$4)+('5 · Modern Console'!$F$4=""))*((DATASET!$F29='5 · Modern Console'!$H$4)+('5 · Modern Console'!$H$4=""))*(DATASET!$G29&lt;&gt;""))&gt;0,1,0)</f>
        <v>1</v>
      </c>
      <c r="AV29">
        <f t="shared" si="36"/>
        <v>25</v>
      </c>
      <c r="AW29" s="103">
        <f>IF(AU29=1,DATASET!$I29,"")</f>
        <v>5403.04</v>
      </c>
      <c r="AX29" t="str">
        <f>IF(((((DATASET!$C29='5 · Modern Console'!$B$4)+('5 · Modern Console'!$B$4=""))*(DATASET!$D29&lt;&gt;"")*(DATASET!$G29&lt;&gt;""))*(SUMPRODUCT((DATASET!$D$2:$D28=DATASET!$D29)*((DATASET!$C$2:$C28='5 · Modern Console'!$B$4)+('5 · Modern Console'!$B$4=""))*(DATASET!$D$2:$D28&lt;&gt;"")*(DATASET!$G$2:$G28&lt;&gt;""))=0))&gt;0,DATASET!$D29,"")</f>
        <v/>
      </c>
      <c r="AY29" t="str">
        <f t="shared" si="37"/>
        <v/>
      </c>
      <c r="AZ29" t="str">
        <f>IF(((((DATASET!$C29='5 · Modern Console'!$B$4)+('5 · Modern Console'!$B$4=""))*((DATASET!$D29='5 · Modern Console'!$D$4)+('5 · Modern Console'!$D$4=""))*(DATASET!$E29&lt;&gt;"")*(DATASET!$G29&lt;&gt;""))*(SUMPRODUCT((DATASET!$E$2:$E28=DATASET!$E29)*((DATASET!$C$2:$C28='5 · Modern Console'!$B$4)+('5 · Modern Console'!$B$4=""))*((DATASET!$D$2:$D28='5 · Modern Console'!$D$4)+('5 · Modern Console'!$D$4=""))*(DATASET!$E$2:$E28&lt;&gt;"")*(DATASET!$G$2:$G28&lt;&gt;""))=0))&gt;0,DATASET!$E29,"")</f>
        <v xml:space="preserve">5-ter) Imposte anticipate</v>
      </c>
      <c r="BA29">
        <f t="shared" si="38"/>
        <v>5</v>
      </c>
      <c r="BB29" t="str">
        <f>IF(((((DATASET!$C29='5 · Modern Console'!$B$4)+('5 · Modern Console'!$B$4=""))*((DATASET!$D29='5 · Modern Console'!$D$4)+('5 · Modern Console'!$D$4=""))*((DATASET!$E29='5 · Modern Console'!$F$4)+('5 · Modern Console'!$F$4=""))*(DATASET!$F29&lt;&gt;"")*(DATASET!$G29&lt;&gt;""))*(SUMPRODUCT((DATASET!$F$2:$F28=DATASET!$F29)*((DATASET!$C$2:$C28='5 · Modern Console'!$B$4)+('5 · Modern Console'!$B$4=""))*((DATASET!$D$2:$D28='5 · Modern Console'!$D$4)+('5 · Modern Console'!$D$4=""))*((DATASET!$E$2:$E28='5 · Modern Console'!$F$4)+('5 · Modern Console'!$F$4=""))*(DATASET!$F$2:$F28&lt;&gt;"")*(DATASET!$G$2:$G28&lt;&gt;""))=0))&gt;0,DATASET!$F29,"")</f>
        <v/>
      </c>
      <c r="BC29" t="str">
        <f t="shared" si="39"/>
        <v/>
      </c>
    </row>
    <row r="30" ht="15" customHeight="1">
      <c r="C30">
        <f>IF((((DATASET!$C30='1 · Executive View'!$B$6)+('1 · Executive View'!$B$6=""))*((DATASET!$D30='1 · Executive View'!$D$6)+('1 · Executive View'!$D$6=""))*((DATASET!$E30='1 · Executive View'!$F$6)+('1 · Executive View'!$F$6=""))*((DATASET!$F30='1 · Executive View'!$H$6)+('1 · Executive View'!$H$6=""))*(DATASET!$G30&lt;&gt;""))&gt;0,1,0)</f>
        <v>1</v>
      </c>
      <c r="D30">
        <f t="shared" si="20"/>
        <v>8</v>
      </c>
      <c r="E30" s="103">
        <f>IF(C30=1,DATASET!$I30,"")</f>
        <v>23401.290000000001</v>
      </c>
      <c r="F30" t="str">
        <f>IF(((((DATASET!$C30='1 · Executive View'!$B$6)+('1 · Executive View'!$B$6=""))*(DATASET!$D30&lt;&gt;"")*(DATASET!$G30&lt;&gt;""))*(SUMPRODUCT((DATASET!$D$2:$D29=DATASET!$D30)*((DATASET!$C$2:$C29='1 · Executive View'!$B$6)+('1 · Executive View'!$B$6=""))*(DATASET!$D$2:$D29&lt;&gt;"")*(DATASET!$G$2:$G29&lt;&gt;""))=0))&gt;0,DATASET!$D30,"")</f>
        <v xml:space="preserve">C.IV) Disponibilità liquide</v>
      </c>
      <c r="G30">
        <f t="shared" si="21"/>
        <v>2</v>
      </c>
      <c r="H30" t="str">
        <f>IF(((((DATASET!$C30='1 · Executive View'!$B$6)+('1 · Executive View'!$B$6=""))*((DATASET!$D30='1 · Executive View'!$D$6)+('1 · Executive View'!$D$6=""))*(DATASET!$E30&lt;&gt;"")*(DATASET!$G30&lt;&gt;""))*(SUMPRODUCT((DATASET!$E$2:$E29=DATASET!$E30)*((DATASET!$C$2:$C29='1 · Executive View'!$B$6)+('1 · Executive View'!$B$6=""))*((DATASET!$D$2:$D29='1 · Executive View'!$D$6)+('1 · Executive View'!$D$6=""))*(DATASET!$E$2:$E29&lt;&gt;"")*(DATASET!$G$2:$G29&lt;&gt;""))=0))&gt;0,DATASET!$E30,"")</f>
        <v xml:space="preserve">1) Depositi bancari e postali</v>
      </c>
      <c r="I30">
        <f t="shared" si="22"/>
        <v>5</v>
      </c>
      <c r="J30" t="str">
        <f>IF(((((DATASET!$C30='1 · Executive View'!$B$6)+('1 · Executive View'!$B$6=""))*((DATASET!$D30='1 · Executive View'!$D$6)+('1 · Executive View'!$D$6=""))*((DATASET!$E30='1 · Executive View'!$F$6)+('1 · Executive View'!$F$6=""))*(DATASET!$F30&lt;&gt;"")*(DATASET!$G30&lt;&gt;""))*(SUMPRODUCT((DATASET!$F$2:$F29=DATASET!$F30)*((DATASET!$C$2:$C29='1 · Executive View'!$B$6)+('1 · Executive View'!$B$6=""))*((DATASET!$D$2:$D29='1 · Executive View'!$D$6)+('1 · Executive View'!$D$6=""))*((DATASET!$E$2:$E29='1 · Executive View'!$F$6)+('1 · Executive View'!$F$6=""))*(DATASET!$F$2:$F29&lt;&gt;"")*(DATASET!$G$2:$G29&lt;&gt;""))=0))&gt;0,DATASET!$F30,"")</f>
        <v/>
      </c>
      <c r="K30" t="str">
        <f t="shared" si="23"/>
        <v/>
      </c>
      <c r="N30">
        <f>IF((((DATASET!$C30='2 · Sidebar Studio'!$B$7)+('2 · Sidebar Studio'!$B$7=""))*((DATASET!$D30='2 · Sidebar Studio'!$B$9)+('2 · Sidebar Studio'!$B$9=""))*((DATASET!$E30='2 · Sidebar Studio'!$B$11)+('2 · Sidebar Studio'!$B$11=""))*((DATASET!$F30='2 · Sidebar Studio'!$B$13)+('2 · Sidebar Studio'!$B$13=""))*(DATASET!$G30&lt;&gt;""))&gt;0,1,0)</f>
        <v>1</v>
      </c>
      <c r="O30">
        <f t="shared" si="24"/>
        <v>26</v>
      </c>
      <c r="P30" s="103">
        <f>IF(N30=1,DATASET!$I30,"")</f>
        <v>23401.290000000001</v>
      </c>
      <c r="Q30" t="str">
        <f>IF(((((DATASET!$C30='2 · Sidebar Studio'!$B$7)+('2 · Sidebar Studio'!$B$7=""))*(DATASET!$D30&lt;&gt;"")*(DATASET!$G30&lt;&gt;""))*(SUMPRODUCT((DATASET!$D$2:$D29=DATASET!$D30)*((DATASET!$C$2:$C29='2 · Sidebar Studio'!$B$7)+('2 · Sidebar Studio'!$B$7=""))*(DATASET!$D$2:$D29&lt;&gt;"")*(DATASET!$G$2:$G29&lt;&gt;""))=0))&gt;0,DATASET!$D30,"")</f>
        <v xml:space="preserve">C.IV) Disponibilità liquide</v>
      </c>
      <c r="R30">
        <f t="shared" si="25"/>
        <v>9</v>
      </c>
      <c r="S30" t="str">
        <f>IF(((((DATASET!$C30='2 · Sidebar Studio'!$B$7)+('2 · Sidebar Studio'!$B$7=""))*((DATASET!$D30='2 · Sidebar Studio'!$B$9)+('2 · Sidebar Studio'!$B$9=""))*(DATASET!$E30&lt;&gt;"")*(DATASET!$G30&lt;&gt;""))*(SUMPRODUCT((DATASET!$E$2:$E29=DATASET!$E30)*((DATASET!$C$2:$C29='2 · Sidebar Studio'!$B$7)+('2 · Sidebar Studio'!$B$7=""))*((DATASET!$D$2:$D29='2 · Sidebar Studio'!$B$9)+('2 · Sidebar Studio'!$B$9=""))*(DATASET!$E$2:$E29&lt;&gt;"")*(DATASET!$G$2:$G29&lt;&gt;""))=0))&gt;0,DATASET!$E30,"")</f>
        <v xml:space="preserve">1) Depositi bancari e postali</v>
      </c>
      <c r="T30">
        <f t="shared" si="26"/>
        <v>6</v>
      </c>
      <c r="U30" t="str">
        <f>IF(((((DATASET!$C30='2 · Sidebar Studio'!$B$7)+('2 · Sidebar Studio'!$B$7=""))*((DATASET!$D30='2 · Sidebar Studio'!$B$9)+('2 · Sidebar Studio'!$B$9=""))*((DATASET!$E30='2 · Sidebar Studio'!$B$11)+('2 · Sidebar Studio'!$B$11=""))*(DATASET!$F30&lt;&gt;"")*(DATASET!$G30&lt;&gt;""))*(SUMPRODUCT((DATASET!$F$2:$F29=DATASET!$F30)*((DATASET!$C$2:$C29='2 · Sidebar Studio'!$B$7)+('2 · Sidebar Studio'!$B$7=""))*((DATASET!$D$2:$D29='2 · Sidebar Studio'!$B$9)+('2 · Sidebar Studio'!$B$9=""))*((DATASET!$E$2:$E29='2 · Sidebar Studio'!$B$11)+('2 · Sidebar Studio'!$B$11=""))*(DATASET!$F$2:$F29&lt;&gt;"")*(DATASET!$G$2:$G29&lt;&gt;""))=0))&gt;0,DATASET!$F30,"")</f>
        <v/>
      </c>
      <c r="V30" t="str">
        <f t="shared" si="27"/>
        <v/>
      </c>
      <c r="Y30">
        <f>IF((((DATASET!$C30='3 · KPI Cards'!$B$9)+('3 · KPI Cards'!$B$9=""))*((DATASET!$D30='3 · KPI Cards'!$D$9)+('3 · KPI Cards'!$D$9=""))*((DATASET!$E30='3 · KPI Cards'!$F$9)+('3 · KPI Cards'!$F$9=""))*((DATASET!$F30='3 · KPI Cards'!$H$9)+('3 · KPI Cards'!$H$9=""))*(DATASET!$G30&lt;&gt;""))&gt;0,1,0)</f>
        <v>1</v>
      </c>
      <c r="Z30">
        <f t="shared" si="28"/>
        <v>26</v>
      </c>
      <c r="AA30" s="103">
        <f>IF(Y30=1,DATASET!$I30,"")</f>
        <v>23401.290000000001</v>
      </c>
      <c r="AB30" t="str">
        <f>IF(((((DATASET!$C30='3 · KPI Cards'!$B$9)+('3 · KPI Cards'!$B$9=""))*(DATASET!$D30&lt;&gt;"")*(DATASET!$G30&lt;&gt;""))*(SUMPRODUCT((DATASET!$D$2:$D29=DATASET!$D30)*((DATASET!$C$2:$C29='3 · KPI Cards'!$B$9)+('3 · KPI Cards'!$B$9=""))*(DATASET!$D$2:$D29&lt;&gt;"")*(DATASET!$G$2:$G29&lt;&gt;""))=0))&gt;0,DATASET!$D30,"")</f>
        <v xml:space="preserve">C.IV) Disponibilità liquide</v>
      </c>
      <c r="AC30">
        <f t="shared" si="29"/>
        <v>9</v>
      </c>
      <c r="AD30" t="str">
        <f>IF(((((DATASET!$C30='3 · KPI Cards'!$B$9)+('3 · KPI Cards'!$B$9=""))*((DATASET!$D30='3 · KPI Cards'!$D$9)+('3 · KPI Cards'!$D$9=""))*(DATASET!$E30&lt;&gt;"")*(DATASET!$G30&lt;&gt;""))*(SUMPRODUCT((DATASET!$E$2:$E29=DATASET!$E30)*((DATASET!$C$2:$C29='3 · KPI Cards'!$B$9)+('3 · KPI Cards'!$B$9=""))*((DATASET!$D$2:$D29='3 · KPI Cards'!$D$9)+('3 · KPI Cards'!$D$9=""))*(DATASET!$E$2:$E29&lt;&gt;"")*(DATASET!$G$2:$G29&lt;&gt;""))=0))&gt;0,DATASET!$E30,"")</f>
        <v xml:space="preserve">1) Depositi bancari e postali</v>
      </c>
      <c r="AE30">
        <f t="shared" si="30"/>
        <v>6</v>
      </c>
      <c r="AF30" t="str">
        <f>IF(((((DATASET!$C30='3 · KPI Cards'!$B$9)+('3 · KPI Cards'!$B$9=""))*((DATASET!$D30='3 · KPI Cards'!$D$9)+('3 · KPI Cards'!$D$9=""))*((DATASET!$E30='3 · KPI Cards'!$F$9)+('3 · KPI Cards'!$F$9=""))*(DATASET!$F30&lt;&gt;"")*(DATASET!$G30&lt;&gt;""))*(SUMPRODUCT((DATASET!$F$2:$F29=DATASET!$F30)*((DATASET!$C$2:$C29='3 · KPI Cards'!$B$9)+('3 · KPI Cards'!$B$9=""))*((DATASET!$D$2:$D29='3 · KPI Cards'!$D$9)+('3 · KPI Cards'!$D$9=""))*((DATASET!$E$2:$E29='3 · KPI Cards'!$F$9)+('3 · KPI Cards'!$F$9=""))*(DATASET!$F$2:$F29&lt;&gt;"")*(DATASET!$G$2:$G29&lt;&gt;""))=0))&gt;0,DATASET!$F30,"")</f>
        <v/>
      </c>
      <c r="AG30" t="str">
        <f t="shared" si="31"/>
        <v/>
      </c>
      <c r="AJ30">
        <f>IF((((DATASET!$C30='4 · Board Report'!$D$5)+('4 · Board Report'!$D$5=""))*((DATASET!$D30='4 · Board Report'!$D$6)+('4 · Board Report'!$D$6=""))*((DATASET!$E30='4 · Board Report'!$D$7)+('4 · Board Report'!$D$7=""))*((DATASET!$F30='4 · Board Report'!$D$8)+('4 · Board Report'!$D$8=""))*(DATASET!$G30&lt;&gt;""))&gt;0,1,0)</f>
        <v>1</v>
      </c>
      <c r="AK30">
        <f t="shared" si="32"/>
        <v>8</v>
      </c>
      <c r="AL30" s="103">
        <f>IF(AJ30=1,DATASET!$I30,"")</f>
        <v>23401.290000000001</v>
      </c>
      <c r="AM30" t="str">
        <f>IF(((((DATASET!$C30='4 · Board Report'!$D$5)+('4 · Board Report'!$D$5=""))*(DATASET!$D30&lt;&gt;"")*(DATASET!$G30&lt;&gt;""))*(SUMPRODUCT((DATASET!$D$2:$D29=DATASET!$D30)*((DATASET!$C$2:$C29='4 · Board Report'!$D$5)+('4 · Board Report'!$D$5=""))*(DATASET!$D$2:$D29&lt;&gt;"")*(DATASET!$G$2:$G29&lt;&gt;""))=0))&gt;0,DATASET!$D30,"")</f>
        <v xml:space="preserve">C.IV) Disponibilità liquide</v>
      </c>
      <c r="AN30">
        <f t="shared" si="33"/>
        <v>2</v>
      </c>
      <c r="AO30" t="str">
        <f>IF(((((DATASET!$C30='4 · Board Report'!$D$5)+('4 · Board Report'!$D$5=""))*((DATASET!$D30='4 · Board Report'!$D$6)+('4 · Board Report'!$D$6=""))*(DATASET!$E30&lt;&gt;"")*(DATASET!$G30&lt;&gt;""))*(SUMPRODUCT((DATASET!$E$2:$E29=DATASET!$E30)*((DATASET!$C$2:$C29='4 · Board Report'!$D$5)+('4 · Board Report'!$D$5=""))*((DATASET!$D$2:$D29='4 · Board Report'!$D$6)+('4 · Board Report'!$D$6=""))*(DATASET!$E$2:$E29&lt;&gt;"")*(DATASET!$G$2:$G29&lt;&gt;""))=0))&gt;0,DATASET!$E30,"")</f>
        <v xml:space="preserve">1) Depositi bancari e postali</v>
      </c>
      <c r="AP30">
        <f t="shared" si="34"/>
        <v>5</v>
      </c>
      <c r="AQ30" t="str">
        <f>IF(((((DATASET!$C30='4 · Board Report'!$D$5)+('4 · Board Report'!$D$5=""))*((DATASET!$D30='4 · Board Report'!$D$6)+('4 · Board Report'!$D$6=""))*((DATASET!$E30='4 · Board Report'!$D$7)+('4 · Board Report'!$D$7=""))*(DATASET!$F30&lt;&gt;"")*(DATASET!$G30&lt;&gt;""))*(SUMPRODUCT((DATASET!$F$2:$F29=DATASET!$F30)*((DATASET!$C$2:$C29='4 · Board Report'!$D$5)+('4 · Board Report'!$D$5=""))*((DATASET!$D$2:$D29='4 · Board Report'!$D$6)+('4 · Board Report'!$D$6=""))*((DATASET!$E$2:$E29='4 · Board Report'!$D$7)+('4 · Board Report'!$D$7=""))*(DATASET!$F$2:$F29&lt;&gt;"")*(DATASET!$G$2:$G29&lt;&gt;""))=0))&gt;0,DATASET!$F30,"")</f>
        <v/>
      </c>
      <c r="AR30" t="str">
        <f t="shared" si="35"/>
        <v/>
      </c>
      <c r="AU30">
        <f>IF((((DATASET!$C30='5 · Modern Console'!$B$4)+('5 · Modern Console'!$B$4=""))*((DATASET!$D30='5 · Modern Console'!$D$4)+('5 · Modern Console'!$D$4=""))*((DATASET!$E30='5 · Modern Console'!$F$4)+('5 · Modern Console'!$F$4=""))*((DATASET!$F30='5 · Modern Console'!$H$4)+('5 · Modern Console'!$H$4=""))*(DATASET!$G30&lt;&gt;""))&gt;0,1,0)</f>
        <v>1</v>
      </c>
      <c r="AV30">
        <f t="shared" si="36"/>
        <v>26</v>
      </c>
      <c r="AW30" s="103">
        <f>IF(AU30=1,DATASET!$I30,"")</f>
        <v>23401.290000000001</v>
      </c>
      <c r="AX30" t="str">
        <f>IF(((((DATASET!$C30='5 · Modern Console'!$B$4)+('5 · Modern Console'!$B$4=""))*(DATASET!$D30&lt;&gt;"")*(DATASET!$G30&lt;&gt;""))*(SUMPRODUCT((DATASET!$D$2:$D29=DATASET!$D30)*((DATASET!$C$2:$C29='5 · Modern Console'!$B$4)+('5 · Modern Console'!$B$4=""))*(DATASET!$D$2:$D29&lt;&gt;"")*(DATASET!$G$2:$G29&lt;&gt;""))=0))&gt;0,DATASET!$D30,"")</f>
        <v xml:space="preserve">C.IV) Disponibilità liquide</v>
      </c>
      <c r="AY30">
        <f t="shared" si="37"/>
        <v>9</v>
      </c>
      <c r="AZ30" t="str">
        <f>IF(((((DATASET!$C30='5 · Modern Console'!$B$4)+('5 · Modern Console'!$B$4=""))*((DATASET!$D30='5 · Modern Console'!$D$4)+('5 · Modern Console'!$D$4=""))*(DATASET!$E30&lt;&gt;"")*(DATASET!$G30&lt;&gt;""))*(SUMPRODUCT((DATASET!$E$2:$E29=DATASET!$E30)*((DATASET!$C$2:$C29='5 · Modern Console'!$B$4)+('5 · Modern Console'!$B$4=""))*((DATASET!$D$2:$D29='5 · Modern Console'!$D$4)+('5 · Modern Console'!$D$4=""))*(DATASET!$E$2:$E29&lt;&gt;"")*(DATASET!$G$2:$G29&lt;&gt;""))=0))&gt;0,DATASET!$E30,"")</f>
        <v xml:space="preserve">1) Depositi bancari e postali</v>
      </c>
      <c r="BA30">
        <f t="shared" si="38"/>
        <v>6</v>
      </c>
      <c r="BB30" t="str">
        <f>IF(((((DATASET!$C30='5 · Modern Console'!$B$4)+('5 · Modern Console'!$B$4=""))*((DATASET!$D30='5 · Modern Console'!$D$4)+('5 · Modern Console'!$D$4=""))*((DATASET!$E30='5 · Modern Console'!$F$4)+('5 · Modern Console'!$F$4=""))*(DATASET!$F30&lt;&gt;"")*(DATASET!$G30&lt;&gt;""))*(SUMPRODUCT((DATASET!$F$2:$F29=DATASET!$F30)*((DATASET!$C$2:$C29='5 · Modern Console'!$B$4)+('5 · Modern Console'!$B$4=""))*((DATASET!$D$2:$D29='5 · Modern Console'!$D$4)+('5 · Modern Console'!$D$4=""))*((DATASET!$E$2:$E29='5 · Modern Console'!$F$4)+('5 · Modern Console'!$F$4=""))*(DATASET!$F$2:$F29&lt;&gt;"")*(DATASET!$G$2:$G29&lt;&gt;""))=0))&gt;0,DATASET!$F30,"")</f>
        <v/>
      </c>
      <c r="BC30" t="str">
        <f t="shared" si="39"/>
        <v/>
      </c>
    </row>
    <row r="31" ht="15" customHeight="1">
      <c r="C31">
        <f>IF((((DATASET!$C31='1 · Executive View'!$B$6)+('1 · Executive View'!$B$6=""))*((DATASET!$D31='1 · Executive View'!$D$6)+('1 · Executive View'!$D$6=""))*((DATASET!$E31='1 · Executive View'!$F$6)+('1 · Executive View'!$F$6=""))*((DATASET!$F31='1 · Executive View'!$H$6)+('1 · Executive View'!$H$6=""))*(DATASET!$G31&lt;&gt;""))&gt;0,1,0)</f>
        <v>0</v>
      </c>
      <c r="D31" t="str">
        <f t="shared" si="20"/>
        <v/>
      </c>
      <c r="E31" t="str">
        <f>IF(C31=1,DATASET!$I31,"")</f>
        <v/>
      </c>
      <c r="F31" t="str">
        <f>IF(((((DATASET!$C31='1 · Executive View'!$B$6)+('1 · Executive View'!$B$6=""))*(DATASET!$D31&lt;&gt;"")*(DATASET!$G31&lt;&gt;""))*(SUMPRODUCT((DATASET!$D$2:$D30=DATASET!$D31)*((DATASET!$C$2:$C30='1 · Executive View'!$B$6)+('1 · Executive View'!$B$6=""))*(DATASET!$D$2:$D30&lt;&gt;"")*(DATASET!$G$2:$G30&lt;&gt;""))=0))&gt;0,DATASET!$D31,"")</f>
        <v/>
      </c>
      <c r="G31" t="str">
        <f t="shared" si="21"/>
        <v/>
      </c>
      <c r="H31" t="str">
        <f>IF(((((DATASET!$C31='1 · Executive View'!$B$6)+('1 · Executive View'!$B$6=""))*((DATASET!$D31='1 · Executive View'!$D$6)+('1 · Executive View'!$D$6=""))*(DATASET!$E31&lt;&gt;"")*(DATASET!$G31&lt;&gt;""))*(SUMPRODUCT((DATASET!$E$2:$E30=DATASET!$E31)*((DATASET!$C$2:$C30='1 · Executive View'!$B$6)+('1 · Executive View'!$B$6=""))*((DATASET!$D$2:$D30='1 · Executive View'!$D$6)+('1 · Executive View'!$D$6=""))*(DATASET!$E$2:$E30&lt;&gt;"")*(DATASET!$G$2:$G30&lt;&gt;""))=0))&gt;0,DATASET!$E31,"")</f>
        <v/>
      </c>
      <c r="I31" t="str">
        <f t="shared" si="22"/>
        <v/>
      </c>
      <c r="J31" t="str">
        <f>IF(((((DATASET!$C31='1 · Executive View'!$B$6)+('1 · Executive View'!$B$6=""))*((DATASET!$D31='1 · Executive View'!$D$6)+('1 · Executive View'!$D$6=""))*((DATASET!$E31='1 · Executive View'!$F$6)+('1 · Executive View'!$F$6=""))*(DATASET!$F31&lt;&gt;"")*(DATASET!$G31&lt;&gt;""))*(SUMPRODUCT((DATASET!$F$2:$F30=DATASET!$F31)*((DATASET!$C$2:$C30='1 · Executive View'!$B$6)+('1 · Executive View'!$B$6=""))*((DATASET!$D$2:$D30='1 · Executive View'!$D$6)+('1 · Executive View'!$D$6=""))*((DATASET!$E$2:$E30='1 · Executive View'!$F$6)+('1 · Executive View'!$F$6=""))*(DATASET!$F$2:$F30&lt;&gt;"")*(DATASET!$G$2:$G30&lt;&gt;""))=0))&gt;0,DATASET!$F31,"")</f>
        <v/>
      </c>
      <c r="K31" t="str">
        <f t="shared" si="23"/>
        <v/>
      </c>
      <c r="N31">
        <f>IF((((DATASET!$C31='2 · Sidebar Studio'!$B$7)+('2 · Sidebar Studio'!$B$7=""))*((DATASET!$D31='2 · Sidebar Studio'!$B$9)+('2 · Sidebar Studio'!$B$9=""))*((DATASET!$E31='2 · Sidebar Studio'!$B$11)+('2 · Sidebar Studio'!$B$11=""))*((DATASET!$F31='2 · Sidebar Studio'!$B$13)+('2 · Sidebar Studio'!$B$13=""))*(DATASET!$G31&lt;&gt;""))&gt;0,1,0)</f>
        <v>0</v>
      </c>
      <c r="O31" t="str">
        <f t="shared" si="24"/>
        <v/>
      </c>
      <c r="P31" t="str">
        <f>IF(N31=1,DATASET!$I31,"")</f>
        <v/>
      </c>
      <c r="Q31" t="str">
        <f>IF(((((DATASET!$C31='2 · Sidebar Studio'!$B$7)+('2 · Sidebar Studio'!$B$7=""))*(DATASET!$D31&lt;&gt;"")*(DATASET!$G31&lt;&gt;""))*(SUMPRODUCT((DATASET!$D$2:$D30=DATASET!$D31)*((DATASET!$C$2:$C30='2 · Sidebar Studio'!$B$7)+('2 · Sidebar Studio'!$B$7=""))*(DATASET!$D$2:$D30&lt;&gt;"")*(DATASET!$G$2:$G30&lt;&gt;""))=0))&gt;0,DATASET!$D31,"")</f>
        <v/>
      </c>
      <c r="R31" t="str">
        <f t="shared" si="25"/>
        <v/>
      </c>
      <c r="S31" t="str">
        <f>IF(((((DATASET!$C31='2 · Sidebar Studio'!$B$7)+('2 · Sidebar Studio'!$B$7=""))*((DATASET!$D31='2 · Sidebar Studio'!$B$9)+('2 · Sidebar Studio'!$B$9=""))*(DATASET!$E31&lt;&gt;"")*(DATASET!$G31&lt;&gt;""))*(SUMPRODUCT((DATASET!$E$2:$E30=DATASET!$E31)*((DATASET!$C$2:$C30='2 · Sidebar Studio'!$B$7)+('2 · Sidebar Studio'!$B$7=""))*((DATASET!$D$2:$D30='2 · Sidebar Studio'!$B$9)+('2 · Sidebar Studio'!$B$9=""))*(DATASET!$E$2:$E30&lt;&gt;"")*(DATASET!$G$2:$G30&lt;&gt;""))=0))&gt;0,DATASET!$E31,"")</f>
        <v/>
      </c>
      <c r="T31" t="str">
        <f t="shared" si="26"/>
        <v/>
      </c>
      <c r="U31" t="str">
        <f>IF(((((DATASET!$C31='2 · Sidebar Studio'!$B$7)+('2 · Sidebar Studio'!$B$7=""))*((DATASET!$D31='2 · Sidebar Studio'!$B$9)+('2 · Sidebar Studio'!$B$9=""))*((DATASET!$E31='2 · Sidebar Studio'!$B$11)+('2 · Sidebar Studio'!$B$11=""))*(DATASET!$F31&lt;&gt;"")*(DATASET!$G31&lt;&gt;""))*(SUMPRODUCT((DATASET!$F$2:$F30=DATASET!$F31)*((DATASET!$C$2:$C30='2 · Sidebar Studio'!$B$7)+('2 · Sidebar Studio'!$B$7=""))*((DATASET!$D$2:$D30='2 · Sidebar Studio'!$B$9)+('2 · Sidebar Studio'!$B$9=""))*((DATASET!$E$2:$E30='2 · Sidebar Studio'!$B$11)+('2 · Sidebar Studio'!$B$11=""))*(DATASET!$F$2:$F30&lt;&gt;"")*(DATASET!$G$2:$G30&lt;&gt;""))=0))&gt;0,DATASET!$F31,"")</f>
        <v/>
      </c>
      <c r="V31" t="str">
        <f t="shared" si="27"/>
        <v/>
      </c>
      <c r="Y31">
        <f>IF((((DATASET!$C31='3 · KPI Cards'!$B$9)+('3 · KPI Cards'!$B$9=""))*((DATASET!$D31='3 · KPI Cards'!$D$9)+('3 · KPI Cards'!$D$9=""))*((DATASET!$E31='3 · KPI Cards'!$F$9)+('3 · KPI Cards'!$F$9=""))*((DATASET!$F31='3 · KPI Cards'!$H$9)+('3 · KPI Cards'!$H$9=""))*(DATASET!$G31&lt;&gt;""))&gt;0,1,0)</f>
        <v>0</v>
      </c>
      <c r="Z31" t="str">
        <f t="shared" si="28"/>
        <v/>
      </c>
      <c r="AA31" t="str">
        <f>IF(Y31=1,DATASET!$I31,"")</f>
        <v/>
      </c>
      <c r="AB31" t="str">
        <f>IF(((((DATASET!$C31='3 · KPI Cards'!$B$9)+('3 · KPI Cards'!$B$9=""))*(DATASET!$D31&lt;&gt;"")*(DATASET!$G31&lt;&gt;""))*(SUMPRODUCT((DATASET!$D$2:$D30=DATASET!$D31)*((DATASET!$C$2:$C30='3 · KPI Cards'!$B$9)+('3 · KPI Cards'!$B$9=""))*(DATASET!$D$2:$D30&lt;&gt;"")*(DATASET!$G$2:$G30&lt;&gt;""))=0))&gt;0,DATASET!$D31,"")</f>
        <v/>
      </c>
      <c r="AC31" t="str">
        <f t="shared" si="29"/>
        <v/>
      </c>
      <c r="AD31" t="str">
        <f>IF(((((DATASET!$C31='3 · KPI Cards'!$B$9)+('3 · KPI Cards'!$B$9=""))*((DATASET!$D31='3 · KPI Cards'!$D$9)+('3 · KPI Cards'!$D$9=""))*(DATASET!$E31&lt;&gt;"")*(DATASET!$G31&lt;&gt;""))*(SUMPRODUCT((DATASET!$E$2:$E30=DATASET!$E31)*((DATASET!$C$2:$C30='3 · KPI Cards'!$B$9)+('3 · KPI Cards'!$B$9=""))*((DATASET!$D$2:$D30='3 · KPI Cards'!$D$9)+('3 · KPI Cards'!$D$9=""))*(DATASET!$E$2:$E30&lt;&gt;"")*(DATASET!$G$2:$G30&lt;&gt;""))=0))&gt;0,DATASET!$E31,"")</f>
        <v/>
      </c>
      <c r="AE31" t="str">
        <f t="shared" si="30"/>
        <v/>
      </c>
      <c r="AF31" t="str">
        <f>IF(((((DATASET!$C31='3 · KPI Cards'!$B$9)+('3 · KPI Cards'!$B$9=""))*((DATASET!$D31='3 · KPI Cards'!$D$9)+('3 · KPI Cards'!$D$9=""))*((DATASET!$E31='3 · KPI Cards'!$F$9)+('3 · KPI Cards'!$F$9=""))*(DATASET!$F31&lt;&gt;"")*(DATASET!$G31&lt;&gt;""))*(SUMPRODUCT((DATASET!$F$2:$F30=DATASET!$F31)*((DATASET!$C$2:$C30='3 · KPI Cards'!$B$9)+('3 · KPI Cards'!$B$9=""))*((DATASET!$D$2:$D30='3 · KPI Cards'!$D$9)+('3 · KPI Cards'!$D$9=""))*((DATASET!$E$2:$E30='3 · KPI Cards'!$F$9)+('3 · KPI Cards'!$F$9=""))*(DATASET!$F$2:$F30&lt;&gt;"")*(DATASET!$G$2:$G30&lt;&gt;""))=0))&gt;0,DATASET!$F31,"")</f>
        <v/>
      </c>
      <c r="AG31" t="str">
        <f t="shared" si="31"/>
        <v/>
      </c>
      <c r="AJ31">
        <f>IF((((DATASET!$C31='4 · Board Report'!$D$5)+('4 · Board Report'!$D$5=""))*((DATASET!$D31='4 · Board Report'!$D$6)+('4 · Board Report'!$D$6=""))*((DATASET!$E31='4 · Board Report'!$D$7)+('4 · Board Report'!$D$7=""))*((DATASET!$F31='4 · Board Report'!$D$8)+('4 · Board Report'!$D$8=""))*(DATASET!$G31&lt;&gt;""))&gt;0,1,0)</f>
        <v>0</v>
      </c>
      <c r="AK31" t="str">
        <f t="shared" si="32"/>
        <v/>
      </c>
      <c r="AL31" t="str">
        <f>IF(AJ31=1,DATASET!$I31,"")</f>
        <v/>
      </c>
      <c r="AM31" t="str">
        <f>IF(((((DATASET!$C31='4 · Board Report'!$D$5)+('4 · Board Report'!$D$5=""))*(DATASET!$D31&lt;&gt;"")*(DATASET!$G31&lt;&gt;""))*(SUMPRODUCT((DATASET!$D$2:$D30=DATASET!$D31)*((DATASET!$C$2:$C30='4 · Board Report'!$D$5)+('4 · Board Report'!$D$5=""))*(DATASET!$D$2:$D30&lt;&gt;"")*(DATASET!$G$2:$G30&lt;&gt;""))=0))&gt;0,DATASET!$D31,"")</f>
        <v/>
      </c>
      <c r="AN31" t="str">
        <f t="shared" si="33"/>
        <v/>
      </c>
      <c r="AO31" t="str">
        <f>IF(((((DATASET!$C31='4 · Board Report'!$D$5)+('4 · Board Report'!$D$5=""))*((DATASET!$D31='4 · Board Report'!$D$6)+('4 · Board Report'!$D$6=""))*(DATASET!$E31&lt;&gt;"")*(DATASET!$G31&lt;&gt;""))*(SUMPRODUCT((DATASET!$E$2:$E30=DATASET!$E31)*((DATASET!$C$2:$C30='4 · Board Report'!$D$5)+('4 · Board Report'!$D$5=""))*((DATASET!$D$2:$D30='4 · Board Report'!$D$6)+('4 · Board Report'!$D$6=""))*(DATASET!$E$2:$E30&lt;&gt;"")*(DATASET!$G$2:$G30&lt;&gt;""))=0))&gt;0,DATASET!$E31,"")</f>
        <v/>
      </c>
      <c r="AP31" t="str">
        <f t="shared" si="34"/>
        <v/>
      </c>
      <c r="AQ31" t="str">
        <f>IF(((((DATASET!$C31='4 · Board Report'!$D$5)+('4 · Board Report'!$D$5=""))*((DATASET!$D31='4 · Board Report'!$D$6)+('4 · Board Report'!$D$6=""))*((DATASET!$E31='4 · Board Report'!$D$7)+('4 · Board Report'!$D$7=""))*(DATASET!$F31&lt;&gt;"")*(DATASET!$G31&lt;&gt;""))*(SUMPRODUCT((DATASET!$F$2:$F30=DATASET!$F31)*((DATASET!$C$2:$C30='4 · Board Report'!$D$5)+('4 · Board Report'!$D$5=""))*((DATASET!$D$2:$D30='4 · Board Report'!$D$6)+('4 · Board Report'!$D$6=""))*((DATASET!$E$2:$E30='4 · Board Report'!$D$7)+('4 · Board Report'!$D$7=""))*(DATASET!$F$2:$F30&lt;&gt;"")*(DATASET!$G$2:$G30&lt;&gt;""))=0))&gt;0,DATASET!$F31,"")</f>
        <v/>
      </c>
      <c r="AR31" t="str">
        <f t="shared" si="35"/>
        <v/>
      </c>
      <c r="AU31">
        <f>IF((((DATASET!$C31='5 · Modern Console'!$B$4)+('5 · Modern Console'!$B$4=""))*((DATASET!$D31='5 · Modern Console'!$D$4)+('5 · Modern Console'!$D$4=""))*((DATASET!$E31='5 · Modern Console'!$F$4)+('5 · Modern Console'!$F$4=""))*((DATASET!$F31='5 · Modern Console'!$H$4)+('5 · Modern Console'!$H$4=""))*(DATASET!$G31&lt;&gt;""))&gt;0,1,0)</f>
        <v>0</v>
      </c>
      <c r="AV31" t="str">
        <f t="shared" si="36"/>
        <v/>
      </c>
      <c r="AW31" t="str">
        <f>IF(AU31=1,DATASET!$I31,"")</f>
        <v/>
      </c>
      <c r="AX31" t="str">
        <f>IF(((((DATASET!$C31='5 · Modern Console'!$B$4)+('5 · Modern Console'!$B$4=""))*(DATASET!$D31&lt;&gt;"")*(DATASET!$G31&lt;&gt;""))*(SUMPRODUCT((DATASET!$D$2:$D30=DATASET!$D31)*((DATASET!$C$2:$C30='5 · Modern Console'!$B$4)+('5 · Modern Console'!$B$4=""))*(DATASET!$D$2:$D30&lt;&gt;"")*(DATASET!$G$2:$G30&lt;&gt;""))=0))&gt;0,DATASET!$D31,"")</f>
        <v/>
      </c>
      <c r="AY31" t="str">
        <f t="shared" si="37"/>
        <v/>
      </c>
      <c r="AZ31" t="str">
        <f>IF(((((DATASET!$C31='5 · Modern Console'!$B$4)+('5 · Modern Console'!$B$4=""))*((DATASET!$D31='5 · Modern Console'!$D$4)+('5 · Modern Console'!$D$4=""))*(DATASET!$E31&lt;&gt;"")*(DATASET!$G31&lt;&gt;""))*(SUMPRODUCT((DATASET!$E$2:$E30=DATASET!$E31)*((DATASET!$C$2:$C30='5 · Modern Console'!$B$4)+('5 · Modern Console'!$B$4=""))*((DATASET!$D$2:$D30='5 · Modern Console'!$D$4)+('5 · Modern Console'!$D$4=""))*(DATASET!$E$2:$E30&lt;&gt;"")*(DATASET!$G$2:$G30&lt;&gt;""))=0))&gt;0,DATASET!$E31,"")</f>
        <v/>
      </c>
      <c r="BA31" t="str">
        <f t="shared" si="38"/>
        <v/>
      </c>
      <c r="BB31" t="str">
        <f>IF(((((DATASET!$C31='5 · Modern Console'!$B$4)+('5 · Modern Console'!$B$4=""))*((DATASET!$D31='5 · Modern Console'!$D$4)+('5 · Modern Console'!$D$4=""))*((DATASET!$E31='5 · Modern Console'!$F$4)+('5 · Modern Console'!$F$4=""))*(DATASET!$F31&lt;&gt;"")*(DATASET!$G31&lt;&gt;""))*(SUMPRODUCT((DATASET!$F$2:$F30=DATASET!$F31)*((DATASET!$C$2:$C30='5 · Modern Console'!$B$4)+('5 · Modern Console'!$B$4=""))*((DATASET!$D$2:$D30='5 · Modern Console'!$D$4)+('5 · Modern Console'!$D$4=""))*((DATASET!$E$2:$E30='5 · Modern Console'!$F$4)+('5 · Modern Console'!$F$4=""))*(DATASET!$F$2:$F30&lt;&gt;"")*(DATASET!$G$2:$G30&lt;&gt;""))=0))&gt;0,DATASET!$F31,"")</f>
        <v/>
      </c>
      <c r="BC31" t="str">
        <f t="shared" si="39"/>
        <v/>
      </c>
    </row>
    <row r="32" ht="15" customHeight="1">
      <c r="C32">
        <f>IF((((DATASET!$C32='1 · Executive View'!$B$6)+('1 · Executive View'!$B$6=""))*((DATASET!$D32='1 · Executive View'!$D$6)+('1 · Executive View'!$D$6=""))*((DATASET!$E32='1 · Executive View'!$F$6)+('1 · Executive View'!$F$6=""))*((DATASET!$F32='1 · Executive View'!$H$6)+('1 · Executive View'!$H$6=""))*(DATASET!$G32&lt;&gt;""))&gt;0,1,0)</f>
        <v>0</v>
      </c>
      <c r="D32" t="str">
        <f t="shared" si="20"/>
        <v/>
      </c>
      <c r="E32" s="103" t="str">
        <f>IF(C32=1,DATASET!$I32,"")</f>
        <v/>
      </c>
      <c r="F32" t="str">
        <f>IF(((((DATASET!$C32='1 · Executive View'!$B$6)+('1 · Executive View'!$B$6=""))*(DATASET!$D32&lt;&gt;"")*(DATASET!$G32&lt;&gt;""))*(SUMPRODUCT((DATASET!$D$2:$D31=DATASET!$D32)*((DATASET!$C$2:$C31='1 · Executive View'!$B$6)+('1 · Executive View'!$B$6=""))*(DATASET!$D$2:$D31&lt;&gt;"")*(DATASET!$G$2:$G31&lt;&gt;""))=0))&gt;0,DATASET!$D32,"")</f>
        <v/>
      </c>
      <c r="G32" t="str">
        <f t="shared" si="21"/>
        <v/>
      </c>
      <c r="H32" t="str">
        <f>IF(((((DATASET!$C32='1 · Executive View'!$B$6)+('1 · Executive View'!$B$6=""))*((DATASET!$D32='1 · Executive View'!$D$6)+('1 · Executive View'!$D$6=""))*(DATASET!$E32&lt;&gt;"")*(DATASET!$G32&lt;&gt;""))*(SUMPRODUCT((DATASET!$E$2:$E31=DATASET!$E32)*((DATASET!$C$2:$C31='1 · Executive View'!$B$6)+('1 · Executive View'!$B$6=""))*((DATASET!$D$2:$D31='1 · Executive View'!$D$6)+('1 · Executive View'!$D$6=""))*(DATASET!$E$2:$E31&lt;&gt;"")*(DATASET!$G$2:$G31&lt;&gt;""))=0))&gt;0,DATASET!$E32,"")</f>
        <v/>
      </c>
      <c r="I32" t="str">
        <f t="shared" si="22"/>
        <v/>
      </c>
      <c r="J32" t="str">
        <f>IF(((((DATASET!$C32='1 · Executive View'!$B$6)+('1 · Executive View'!$B$6=""))*((DATASET!$D32='1 · Executive View'!$D$6)+('1 · Executive View'!$D$6=""))*((DATASET!$E32='1 · Executive View'!$F$6)+('1 · Executive View'!$F$6=""))*(DATASET!$F32&lt;&gt;"")*(DATASET!$G32&lt;&gt;""))*(SUMPRODUCT((DATASET!$F$2:$F31=DATASET!$F32)*((DATASET!$C$2:$C31='1 · Executive View'!$B$6)+('1 · Executive View'!$B$6=""))*((DATASET!$D$2:$D31='1 · Executive View'!$D$6)+('1 · Executive View'!$D$6=""))*((DATASET!$E$2:$E31='1 · Executive View'!$F$6)+('1 · Executive View'!$F$6=""))*(DATASET!$F$2:$F31&lt;&gt;"")*(DATASET!$G$2:$G31&lt;&gt;""))=0))&gt;0,DATASET!$F32,"")</f>
        <v/>
      </c>
      <c r="K32" t="str">
        <f t="shared" si="23"/>
        <v/>
      </c>
      <c r="N32">
        <f>IF((((DATASET!$C32='2 · Sidebar Studio'!$B$7)+('2 · Sidebar Studio'!$B$7=""))*((DATASET!$D32='2 · Sidebar Studio'!$B$9)+('2 · Sidebar Studio'!$B$9=""))*((DATASET!$E32='2 · Sidebar Studio'!$B$11)+('2 · Sidebar Studio'!$B$11=""))*((DATASET!$F32='2 · Sidebar Studio'!$B$13)+('2 · Sidebar Studio'!$B$13=""))*(DATASET!$G32&lt;&gt;""))&gt;0,1,0)</f>
        <v>1</v>
      </c>
      <c r="O32">
        <f t="shared" si="24"/>
        <v>27</v>
      </c>
      <c r="P32" s="103">
        <f>IF(N32=1,DATASET!$I32,"")</f>
        <v>10000</v>
      </c>
      <c r="Q32" t="str">
        <f>IF(((((DATASET!$C32='2 · Sidebar Studio'!$B$7)+('2 · Sidebar Studio'!$B$7=""))*(DATASET!$D32&lt;&gt;"")*(DATASET!$G32&lt;&gt;""))*(SUMPRODUCT((DATASET!$D$2:$D31=DATASET!$D32)*((DATASET!$C$2:$C31='2 · Sidebar Studio'!$B$7)+('2 · Sidebar Studio'!$B$7=""))*(DATASET!$D$2:$D31&lt;&gt;"")*(DATASET!$G$2:$G31&lt;&gt;""))=0))&gt;0,DATASET!$D32,"")</f>
        <v xml:space="preserve">A.I) Capitale sociale</v>
      </c>
      <c r="R32">
        <f t="shared" si="25"/>
        <v>10</v>
      </c>
      <c r="S32" t="str">
        <f>IF(((((DATASET!$C32='2 · Sidebar Studio'!$B$7)+('2 · Sidebar Studio'!$B$7=""))*((DATASET!$D32='2 · Sidebar Studio'!$B$9)+('2 · Sidebar Studio'!$B$9=""))*(DATASET!$E32&lt;&gt;"")*(DATASET!$G32&lt;&gt;""))*(SUMPRODUCT((DATASET!$E$2:$E31=DATASET!$E32)*((DATASET!$C$2:$C31='2 · Sidebar Studio'!$B$7)+('2 · Sidebar Studio'!$B$7=""))*((DATASET!$D$2:$D31='2 · Sidebar Studio'!$B$9)+('2 · Sidebar Studio'!$B$9=""))*(DATASET!$E$2:$E31&lt;&gt;"")*(DATASET!$G$2:$G31&lt;&gt;""))=0))&gt;0,DATASET!$E32,"")</f>
        <v/>
      </c>
      <c r="T32" t="str">
        <f t="shared" si="26"/>
        <v/>
      </c>
      <c r="U32" t="str">
        <f>IF(((((DATASET!$C32='2 · Sidebar Studio'!$B$7)+('2 · Sidebar Studio'!$B$7=""))*((DATASET!$D32='2 · Sidebar Studio'!$B$9)+('2 · Sidebar Studio'!$B$9=""))*((DATASET!$E32='2 · Sidebar Studio'!$B$11)+('2 · Sidebar Studio'!$B$11=""))*(DATASET!$F32&lt;&gt;"")*(DATASET!$G32&lt;&gt;""))*(SUMPRODUCT((DATASET!$F$2:$F31=DATASET!$F32)*((DATASET!$C$2:$C31='2 · Sidebar Studio'!$B$7)+('2 · Sidebar Studio'!$B$7=""))*((DATASET!$D$2:$D31='2 · Sidebar Studio'!$B$9)+('2 · Sidebar Studio'!$B$9=""))*((DATASET!$E$2:$E31='2 · Sidebar Studio'!$B$11)+('2 · Sidebar Studio'!$B$11=""))*(DATASET!$F$2:$F31&lt;&gt;"")*(DATASET!$G$2:$G31&lt;&gt;""))=0))&gt;0,DATASET!$F32,"")</f>
        <v/>
      </c>
      <c r="V32" t="str">
        <f t="shared" si="27"/>
        <v/>
      </c>
      <c r="Y32">
        <f>IF((((DATASET!$C32='3 · KPI Cards'!$B$9)+('3 · KPI Cards'!$B$9=""))*((DATASET!$D32='3 · KPI Cards'!$D$9)+('3 · KPI Cards'!$D$9=""))*((DATASET!$E32='3 · KPI Cards'!$F$9)+('3 · KPI Cards'!$F$9=""))*((DATASET!$F32='3 · KPI Cards'!$H$9)+('3 · KPI Cards'!$H$9=""))*(DATASET!$G32&lt;&gt;""))&gt;0,1,0)</f>
        <v>1</v>
      </c>
      <c r="Z32">
        <f t="shared" si="28"/>
        <v>27</v>
      </c>
      <c r="AA32" s="103">
        <f>IF(Y32=1,DATASET!$I32,"")</f>
        <v>10000</v>
      </c>
      <c r="AB32" t="str">
        <f>IF(((((DATASET!$C32='3 · KPI Cards'!$B$9)+('3 · KPI Cards'!$B$9=""))*(DATASET!$D32&lt;&gt;"")*(DATASET!$G32&lt;&gt;""))*(SUMPRODUCT((DATASET!$D$2:$D31=DATASET!$D32)*((DATASET!$C$2:$C31='3 · KPI Cards'!$B$9)+('3 · KPI Cards'!$B$9=""))*(DATASET!$D$2:$D31&lt;&gt;"")*(DATASET!$G$2:$G31&lt;&gt;""))=0))&gt;0,DATASET!$D32,"")</f>
        <v xml:space="preserve">A.I) Capitale sociale</v>
      </c>
      <c r="AC32">
        <f t="shared" si="29"/>
        <v>10</v>
      </c>
      <c r="AD32" t="str">
        <f>IF(((((DATASET!$C32='3 · KPI Cards'!$B$9)+('3 · KPI Cards'!$B$9=""))*((DATASET!$D32='3 · KPI Cards'!$D$9)+('3 · KPI Cards'!$D$9=""))*(DATASET!$E32&lt;&gt;"")*(DATASET!$G32&lt;&gt;""))*(SUMPRODUCT((DATASET!$E$2:$E31=DATASET!$E32)*((DATASET!$C$2:$C31='3 · KPI Cards'!$B$9)+('3 · KPI Cards'!$B$9=""))*((DATASET!$D$2:$D31='3 · KPI Cards'!$D$9)+('3 · KPI Cards'!$D$9=""))*(DATASET!$E$2:$E31&lt;&gt;"")*(DATASET!$G$2:$G31&lt;&gt;""))=0))&gt;0,DATASET!$E32,"")</f>
        <v/>
      </c>
      <c r="AE32" t="str">
        <f t="shared" si="30"/>
        <v/>
      </c>
      <c r="AF32" t="str">
        <f>IF(((((DATASET!$C32='3 · KPI Cards'!$B$9)+('3 · KPI Cards'!$B$9=""))*((DATASET!$D32='3 · KPI Cards'!$D$9)+('3 · KPI Cards'!$D$9=""))*((DATASET!$E32='3 · KPI Cards'!$F$9)+('3 · KPI Cards'!$F$9=""))*(DATASET!$F32&lt;&gt;"")*(DATASET!$G32&lt;&gt;""))*(SUMPRODUCT((DATASET!$F$2:$F31=DATASET!$F32)*((DATASET!$C$2:$C31='3 · KPI Cards'!$B$9)+('3 · KPI Cards'!$B$9=""))*((DATASET!$D$2:$D31='3 · KPI Cards'!$D$9)+('3 · KPI Cards'!$D$9=""))*((DATASET!$E$2:$E31='3 · KPI Cards'!$F$9)+('3 · KPI Cards'!$F$9=""))*(DATASET!$F$2:$F31&lt;&gt;"")*(DATASET!$G$2:$G31&lt;&gt;""))=0))&gt;0,DATASET!$F32,"")</f>
        <v/>
      </c>
      <c r="AG32" t="str">
        <f t="shared" si="31"/>
        <v/>
      </c>
      <c r="AJ32">
        <f>IF((((DATASET!$C32='4 · Board Report'!$D$5)+('4 · Board Report'!$D$5=""))*((DATASET!$D32='4 · Board Report'!$D$6)+('4 · Board Report'!$D$6=""))*((DATASET!$E32='4 · Board Report'!$D$7)+('4 · Board Report'!$D$7=""))*((DATASET!$F32='4 · Board Report'!$D$8)+('4 · Board Report'!$D$8=""))*(DATASET!$G32&lt;&gt;""))&gt;0,1,0)</f>
        <v>0</v>
      </c>
      <c r="AK32" t="str">
        <f t="shared" si="32"/>
        <v/>
      </c>
      <c r="AL32" s="103" t="str">
        <f>IF(AJ32=1,DATASET!$I32,"")</f>
        <v/>
      </c>
      <c r="AM32" t="str">
        <f>IF(((((DATASET!$C32='4 · Board Report'!$D$5)+('4 · Board Report'!$D$5=""))*(DATASET!$D32&lt;&gt;"")*(DATASET!$G32&lt;&gt;""))*(SUMPRODUCT((DATASET!$D$2:$D31=DATASET!$D32)*((DATASET!$C$2:$C31='4 · Board Report'!$D$5)+('4 · Board Report'!$D$5=""))*(DATASET!$D$2:$D31&lt;&gt;"")*(DATASET!$G$2:$G31&lt;&gt;""))=0))&gt;0,DATASET!$D32,"")</f>
        <v/>
      </c>
      <c r="AN32" t="str">
        <f t="shared" si="33"/>
        <v/>
      </c>
      <c r="AO32" t="str">
        <f>IF(((((DATASET!$C32='4 · Board Report'!$D$5)+('4 · Board Report'!$D$5=""))*((DATASET!$D32='4 · Board Report'!$D$6)+('4 · Board Report'!$D$6=""))*(DATASET!$E32&lt;&gt;"")*(DATASET!$G32&lt;&gt;""))*(SUMPRODUCT((DATASET!$E$2:$E31=DATASET!$E32)*((DATASET!$C$2:$C31='4 · Board Report'!$D$5)+('4 · Board Report'!$D$5=""))*((DATASET!$D$2:$D31='4 · Board Report'!$D$6)+('4 · Board Report'!$D$6=""))*(DATASET!$E$2:$E31&lt;&gt;"")*(DATASET!$G$2:$G31&lt;&gt;""))=0))&gt;0,DATASET!$E32,"")</f>
        <v/>
      </c>
      <c r="AP32" t="str">
        <f t="shared" si="34"/>
        <v/>
      </c>
      <c r="AQ32" t="str">
        <f>IF(((((DATASET!$C32='4 · Board Report'!$D$5)+('4 · Board Report'!$D$5=""))*((DATASET!$D32='4 · Board Report'!$D$6)+('4 · Board Report'!$D$6=""))*((DATASET!$E32='4 · Board Report'!$D$7)+('4 · Board Report'!$D$7=""))*(DATASET!$F32&lt;&gt;"")*(DATASET!$G32&lt;&gt;""))*(SUMPRODUCT((DATASET!$F$2:$F31=DATASET!$F32)*((DATASET!$C$2:$C31='4 · Board Report'!$D$5)+('4 · Board Report'!$D$5=""))*((DATASET!$D$2:$D31='4 · Board Report'!$D$6)+('4 · Board Report'!$D$6=""))*((DATASET!$E$2:$E31='4 · Board Report'!$D$7)+('4 · Board Report'!$D$7=""))*(DATASET!$F$2:$F31&lt;&gt;"")*(DATASET!$G$2:$G31&lt;&gt;""))=0))&gt;0,DATASET!$F32,"")</f>
        <v/>
      </c>
      <c r="AR32" t="str">
        <f t="shared" si="35"/>
        <v/>
      </c>
      <c r="AU32">
        <f>IF((((DATASET!$C32='5 · Modern Console'!$B$4)+('5 · Modern Console'!$B$4=""))*((DATASET!$D32='5 · Modern Console'!$D$4)+('5 · Modern Console'!$D$4=""))*((DATASET!$E32='5 · Modern Console'!$F$4)+('5 · Modern Console'!$F$4=""))*((DATASET!$F32='5 · Modern Console'!$H$4)+('5 · Modern Console'!$H$4=""))*(DATASET!$G32&lt;&gt;""))&gt;0,1,0)</f>
        <v>1</v>
      </c>
      <c r="AV32">
        <f t="shared" si="36"/>
        <v>27</v>
      </c>
      <c r="AW32" s="103">
        <f>IF(AU32=1,DATASET!$I32,"")</f>
        <v>10000</v>
      </c>
      <c r="AX32" t="str">
        <f>IF(((((DATASET!$C32='5 · Modern Console'!$B$4)+('5 · Modern Console'!$B$4=""))*(DATASET!$D32&lt;&gt;"")*(DATASET!$G32&lt;&gt;""))*(SUMPRODUCT((DATASET!$D$2:$D31=DATASET!$D32)*((DATASET!$C$2:$C31='5 · Modern Console'!$B$4)+('5 · Modern Console'!$B$4=""))*(DATASET!$D$2:$D31&lt;&gt;"")*(DATASET!$G$2:$G31&lt;&gt;""))=0))&gt;0,DATASET!$D32,"")</f>
        <v xml:space="preserve">A.I) Capitale sociale</v>
      </c>
      <c r="AY32">
        <f t="shared" si="37"/>
        <v>10</v>
      </c>
      <c r="AZ32" t="str">
        <f>IF(((((DATASET!$C32='5 · Modern Console'!$B$4)+('5 · Modern Console'!$B$4=""))*((DATASET!$D32='5 · Modern Console'!$D$4)+('5 · Modern Console'!$D$4=""))*(DATASET!$E32&lt;&gt;"")*(DATASET!$G32&lt;&gt;""))*(SUMPRODUCT((DATASET!$E$2:$E31=DATASET!$E32)*((DATASET!$C$2:$C31='5 · Modern Console'!$B$4)+('5 · Modern Console'!$B$4=""))*((DATASET!$D$2:$D31='5 · Modern Console'!$D$4)+('5 · Modern Console'!$D$4=""))*(DATASET!$E$2:$E31&lt;&gt;"")*(DATASET!$G$2:$G31&lt;&gt;""))=0))&gt;0,DATASET!$E32,"")</f>
        <v/>
      </c>
      <c r="BA32" t="str">
        <f t="shared" si="38"/>
        <v/>
      </c>
      <c r="BB32" t="str">
        <f>IF(((((DATASET!$C32='5 · Modern Console'!$B$4)+('5 · Modern Console'!$B$4=""))*((DATASET!$D32='5 · Modern Console'!$D$4)+('5 · Modern Console'!$D$4=""))*((DATASET!$E32='5 · Modern Console'!$F$4)+('5 · Modern Console'!$F$4=""))*(DATASET!$F32&lt;&gt;"")*(DATASET!$G32&lt;&gt;""))*(SUMPRODUCT((DATASET!$F$2:$F31=DATASET!$F32)*((DATASET!$C$2:$C31='5 · Modern Console'!$B$4)+('5 · Modern Console'!$B$4=""))*((DATASET!$D$2:$D31='5 · Modern Console'!$D$4)+('5 · Modern Console'!$D$4=""))*((DATASET!$E$2:$E31='5 · Modern Console'!$F$4)+('5 · Modern Console'!$F$4=""))*(DATASET!$F$2:$F31&lt;&gt;"")*(DATASET!$G$2:$G31&lt;&gt;""))=0))&gt;0,DATASET!$F32,"")</f>
        <v/>
      </c>
      <c r="BC32" t="str">
        <f t="shared" si="39"/>
        <v/>
      </c>
    </row>
    <row r="33" ht="15" customHeight="1">
      <c r="C33">
        <f>IF((((DATASET!$C33='1 · Executive View'!$B$6)+('1 · Executive View'!$B$6=""))*((DATASET!$D33='1 · Executive View'!$D$6)+('1 · Executive View'!$D$6=""))*((DATASET!$E33='1 · Executive View'!$F$6)+('1 · Executive View'!$F$6=""))*((DATASET!$F33='1 · Executive View'!$H$6)+('1 · Executive View'!$H$6=""))*(DATASET!$G33&lt;&gt;""))&gt;0,1,0)</f>
        <v>0</v>
      </c>
      <c r="D33" t="str">
        <f t="shared" si="20"/>
        <v/>
      </c>
      <c r="E33" s="103" t="str">
        <f>IF(C33=1,DATASET!$I33,"")</f>
        <v/>
      </c>
      <c r="F33" t="str">
        <f>IF(((((DATASET!$C33='1 · Executive View'!$B$6)+('1 · Executive View'!$B$6=""))*(DATASET!$D33&lt;&gt;"")*(DATASET!$G33&lt;&gt;""))*(SUMPRODUCT((DATASET!$D$2:$D32=DATASET!$D33)*((DATASET!$C$2:$C32='1 · Executive View'!$B$6)+('1 · Executive View'!$B$6=""))*(DATASET!$D$2:$D32&lt;&gt;"")*(DATASET!$G$2:$G32&lt;&gt;""))=0))&gt;0,DATASET!$D33,"")</f>
        <v/>
      </c>
      <c r="G33" t="str">
        <f t="shared" si="21"/>
        <v/>
      </c>
      <c r="H33" t="str">
        <f>IF(((((DATASET!$C33='1 · Executive View'!$B$6)+('1 · Executive View'!$B$6=""))*((DATASET!$D33='1 · Executive View'!$D$6)+('1 · Executive View'!$D$6=""))*(DATASET!$E33&lt;&gt;"")*(DATASET!$G33&lt;&gt;""))*(SUMPRODUCT((DATASET!$E$2:$E32=DATASET!$E33)*((DATASET!$C$2:$C32='1 · Executive View'!$B$6)+('1 · Executive View'!$B$6=""))*((DATASET!$D$2:$D32='1 · Executive View'!$D$6)+('1 · Executive View'!$D$6=""))*(DATASET!$E$2:$E32&lt;&gt;"")*(DATASET!$G$2:$G32&lt;&gt;""))=0))&gt;0,DATASET!$E33,"")</f>
        <v/>
      </c>
      <c r="I33" t="str">
        <f t="shared" si="22"/>
        <v/>
      </c>
      <c r="J33" t="str">
        <f>IF(((((DATASET!$C33='1 · Executive View'!$B$6)+('1 · Executive View'!$B$6=""))*((DATASET!$D33='1 · Executive View'!$D$6)+('1 · Executive View'!$D$6=""))*((DATASET!$E33='1 · Executive View'!$F$6)+('1 · Executive View'!$F$6=""))*(DATASET!$F33&lt;&gt;"")*(DATASET!$G33&lt;&gt;""))*(SUMPRODUCT((DATASET!$F$2:$F32=DATASET!$F33)*((DATASET!$C$2:$C32='1 · Executive View'!$B$6)+('1 · Executive View'!$B$6=""))*((DATASET!$D$2:$D32='1 · Executive View'!$D$6)+('1 · Executive View'!$D$6=""))*((DATASET!$E$2:$E32='1 · Executive View'!$F$6)+('1 · Executive View'!$F$6=""))*(DATASET!$F$2:$F32&lt;&gt;"")*(DATASET!$G$2:$G32&lt;&gt;""))=0))&gt;0,DATASET!$F33,"")</f>
        <v/>
      </c>
      <c r="K33" t="str">
        <f t="shared" si="23"/>
        <v/>
      </c>
      <c r="N33">
        <f>IF((((DATASET!$C33='2 · Sidebar Studio'!$B$7)+('2 · Sidebar Studio'!$B$7=""))*((DATASET!$D33='2 · Sidebar Studio'!$B$9)+('2 · Sidebar Studio'!$B$9=""))*((DATASET!$E33='2 · Sidebar Studio'!$B$11)+('2 · Sidebar Studio'!$B$11=""))*((DATASET!$F33='2 · Sidebar Studio'!$B$13)+('2 · Sidebar Studio'!$B$13=""))*(DATASET!$G33&lt;&gt;""))&gt;0,1,0)</f>
        <v>1</v>
      </c>
      <c r="O33">
        <f t="shared" si="24"/>
        <v>28</v>
      </c>
      <c r="P33" s="103">
        <f>IF(N33=1,DATASET!$I33,"")</f>
        <v>2000</v>
      </c>
      <c r="Q33" t="str">
        <f>IF(((((DATASET!$C33='2 · Sidebar Studio'!$B$7)+('2 · Sidebar Studio'!$B$7=""))*(DATASET!$D33&lt;&gt;"")*(DATASET!$G33&lt;&gt;""))*(SUMPRODUCT((DATASET!$D$2:$D32=DATASET!$D33)*((DATASET!$C$2:$C32='2 · Sidebar Studio'!$B$7)+('2 · Sidebar Studio'!$B$7=""))*(DATASET!$D$2:$D32&lt;&gt;"")*(DATASET!$G$2:$G32&lt;&gt;""))=0))&gt;0,DATASET!$D33,"")</f>
        <v xml:space="preserve">A.IV) Riserva legale</v>
      </c>
      <c r="R33">
        <f t="shared" si="25"/>
        <v>11</v>
      </c>
      <c r="S33" t="str">
        <f>IF(((((DATASET!$C33='2 · Sidebar Studio'!$B$7)+('2 · Sidebar Studio'!$B$7=""))*((DATASET!$D33='2 · Sidebar Studio'!$B$9)+('2 · Sidebar Studio'!$B$9=""))*(DATASET!$E33&lt;&gt;"")*(DATASET!$G33&lt;&gt;""))*(SUMPRODUCT((DATASET!$E$2:$E32=DATASET!$E33)*((DATASET!$C$2:$C32='2 · Sidebar Studio'!$B$7)+('2 · Sidebar Studio'!$B$7=""))*((DATASET!$D$2:$D32='2 · Sidebar Studio'!$B$9)+('2 · Sidebar Studio'!$B$9=""))*(DATASET!$E$2:$E32&lt;&gt;"")*(DATASET!$G$2:$G32&lt;&gt;""))=0))&gt;0,DATASET!$E33,"")</f>
        <v/>
      </c>
      <c r="T33" t="str">
        <f t="shared" si="26"/>
        <v/>
      </c>
      <c r="U33" t="str">
        <f>IF(((((DATASET!$C33='2 · Sidebar Studio'!$B$7)+('2 · Sidebar Studio'!$B$7=""))*((DATASET!$D33='2 · Sidebar Studio'!$B$9)+('2 · Sidebar Studio'!$B$9=""))*((DATASET!$E33='2 · Sidebar Studio'!$B$11)+('2 · Sidebar Studio'!$B$11=""))*(DATASET!$F33&lt;&gt;"")*(DATASET!$G33&lt;&gt;""))*(SUMPRODUCT((DATASET!$F$2:$F32=DATASET!$F33)*((DATASET!$C$2:$C32='2 · Sidebar Studio'!$B$7)+('2 · Sidebar Studio'!$B$7=""))*((DATASET!$D$2:$D32='2 · Sidebar Studio'!$B$9)+('2 · Sidebar Studio'!$B$9=""))*((DATASET!$E$2:$E32='2 · Sidebar Studio'!$B$11)+('2 · Sidebar Studio'!$B$11=""))*(DATASET!$F$2:$F32&lt;&gt;"")*(DATASET!$G$2:$G32&lt;&gt;""))=0))&gt;0,DATASET!$F33,"")</f>
        <v/>
      </c>
      <c r="V33" t="str">
        <f t="shared" si="27"/>
        <v/>
      </c>
      <c r="Y33">
        <f>IF((((DATASET!$C33='3 · KPI Cards'!$B$9)+('3 · KPI Cards'!$B$9=""))*((DATASET!$D33='3 · KPI Cards'!$D$9)+('3 · KPI Cards'!$D$9=""))*((DATASET!$E33='3 · KPI Cards'!$F$9)+('3 · KPI Cards'!$F$9=""))*((DATASET!$F33='3 · KPI Cards'!$H$9)+('3 · KPI Cards'!$H$9=""))*(DATASET!$G33&lt;&gt;""))&gt;0,1,0)</f>
        <v>1</v>
      </c>
      <c r="Z33">
        <f t="shared" si="28"/>
        <v>28</v>
      </c>
      <c r="AA33" s="103">
        <f>IF(Y33=1,DATASET!$I33,"")</f>
        <v>2000</v>
      </c>
      <c r="AB33" t="str">
        <f>IF(((((DATASET!$C33='3 · KPI Cards'!$B$9)+('3 · KPI Cards'!$B$9=""))*(DATASET!$D33&lt;&gt;"")*(DATASET!$G33&lt;&gt;""))*(SUMPRODUCT((DATASET!$D$2:$D32=DATASET!$D33)*((DATASET!$C$2:$C32='3 · KPI Cards'!$B$9)+('3 · KPI Cards'!$B$9=""))*(DATASET!$D$2:$D32&lt;&gt;"")*(DATASET!$G$2:$G32&lt;&gt;""))=0))&gt;0,DATASET!$D33,"")</f>
        <v xml:space="preserve">A.IV) Riserva legale</v>
      </c>
      <c r="AC33">
        <f t="shared" si="29"/>
        <v>11</v>
      </c>
      <c r="AD33" t="str">
        <f>IF(((((DATASET!$C33='3 · KPI Cards'!$B$9)+('3 · KPI Cards'!$B$9=""))*((DATASET!$D33='3 · KPI Cards'!$D$9)+('3 · KPI Cards'!$D$9=""))*(DATASET!$E33&lt;&gt;"")*(DATASET!$G33&lt;&gt;""))*(SUMPRODUCT((DATASET!$E$2:$E32=DATASET!$E33)*((DATASET!$C$2:$C32='3 · KPI Cards'!$B$9)+('3 · KPI Cards'!$B$9=""))*((DATASET!$D$2:$D32='3 · KPI Cards'!$D$9)+('3 · KPI Cards'!$D$9=""))*(DATASET!$E$2:$E32&lt;&gt;"")*(DATASET!$G$2:$G32&lt;&gt;""))=0))&gt;0,DATASET!$E33,"")</f>
        <v/>
      </c>
      <c r="AE33" t="str">
        <f t="shared" si="30"/>
        <v/>
      </c>
      <c r="AF33" t="str">
        <f>IF(((((DATASET!$C33='3 · KPI Cards'!$B$9)+('3 · KPI Cards'!$B$9=""))*((DATASET!$D33='3 · KPI Cards'!$D$9)+('3 · KPI Cards'!$D$9=""))*((DATASET!$E33='3 · KPI Cards'!$F$9)+('3 · KPI Cards'!$F$9=""))*(DATASET!$F33&lt;&gt;"")*(DATASET!$G33&lt;&gt;""))*(SUMPRODUCT((DATASET!$F$2:$F32=DATASET!$F33)*((DATASET!$C$2:$C32='3 · KPI Cards'!$B$9)+('3 · KPI Cards'!$B$9=""))*((DATASET!$D$2:$D32='3 · KPI Cards'!$D$9)+('3 · KPI Cards'!$D$9=""))*((DATASET!$E$2:$E32='3 · KPI Cards'!$F$9)+('3 · KPI Cards'!$F$9=""))*(DATASET!$F$2:$F32&lt;&gt;"")*(DATASET!$G$2:$G32&lt;&gt;""))=0))&gt;0,DATASET!$F33,"")</f>
        <v/>
      </c>
      <c r="AG33" t="str">
        <f t="shared" si="31"/>
        <v/>
      </c>
      <c r="AJ33">
        <f>IF((((DATASET!$C33='4 · Board Report'!$D$5)+('4 · Board Report'!$D$5=""))*((DATASET!$D33='4 · Board Report'!$D$6)+('4 · Board Report'!$D$6=""))*((DATASET!$E33='4 · Board Report'!$D$7)+('4 · Board Report'!$D$7=""))*((DATASET!$F33='4 · Board Report'!$D$8)+('4 · Board Report'!$D$8=""))*(DATASET!$G33&lt;&gt;""))&gt;0,1,0)</f>
        <v>0</v>
      </c>
      <c r="AK33" t="str">
        <f t="shared" si="32"/>
        <v/>
      </c>
      <c r="AL33" s="103" t="str">
        <f>IF(AJ33=1,DATASET!$I33,"")</f>
        <v/>
      </c>
      <c r="AM33" t="str">
        <f>IF(((((DATASET!$C33='4 · Board Report'!$D$5)+('4 · Board Report'!$D$5=""))*(DATASET!$D33&lt;&gt;"")*(DATASET!$G33&lt;&gt;""))*(SUMPRODUCT((DATASET!$D$2:$D32=DATASET!$D33)*((DATASET!$C$2:$C32='4 · Board Report'!$D$5)+('4 · Board Report'!$D$5=""))*(DATASET!$D$2:$D32&lt;&gt;"")*(DATASET!$G$2:$G32&lt;&gt;""))=0))&gt;0,DATASET!$D33,"")</f>
        <v/>
      </c>
      <c r="AN33" t="str">
        <f t="shared" si="33"/>
        <v/>
      </c>
      <c r="AO33" t="str">
        <f>IF(((((DATASET!$C33='4 · Board Report'!$D$5)+('4 · Board Report'!$D$5=""))*((DATASET!$D33='4 · Board Report'!$D$6)+('4 · Board Report'!$D$6=""))*(DATASET!$E33&lt;&gt;"")*(DATASET!$G33&lt;&gt;""))*(SUMPRODUCT((DATASET!$E$2:$E32=DATASET!$E33)*((DATASET!$C$2:$C32='4 · Board Report'!$D$5)+('4 · Board Report'!$D$5=""))*((DATASET!$D$2:$D32='4 · Board Report'!$D$6)+('4 · Board Report'!$D$6=""))*(DATASET!$E$2:$E32&lt;&gt;"")*(DATASET!$G$2:$G32&lt;&gt;""))=0))&gt;0,DATASET!$E33,"")</f>
        <v/>
      </c>
      <c r="AP33" t="str">
        <f t="shared" si="34"/>
        <v/>
      </c>
      <c r="AQ33" t="str">
        <f>IF(((((DATASET!$C33='4 · Board Report'!$D$5)+('4 · Board Report'!$D$5=""))*((DATASET!$D33='4 · Board Report'!$D$6)+('4 · Board Report'!$D$6=""))*((DATASET!$E33='4 · Board Report'!$D$7)+('4 · Board Report'!$D$7=""))*(DATASET!$F33&lt;&gt;"")*(DATASET!$G33&lt;&gt;""))*(SUMPRODUCT((DATASET!$F$2:$F32=DATASET!$F33)*((DATASET!$C$2:$C32='4 · Board Report'!$D$5)+('4 · Board Report'!$D$5=""))*((DATASET!$D$2:$D32='4 · Board Report'!$D$6)+('4 · Board Report'!$D$6=""))*((DATASET!$E$2:$E32='4 · Board Report'!$D$7)+('4 · Board Report'!$D$7=""))*(DATASET!$F$2:$F32&lt;&gt;"")*(DATASET!$G$2:$G32&lt;&gt;""))=0))&gt;0,DATASET!$F33,"")</f>
        <v/>
      </c>
      <c r="AR33" t="str">
        <f t="shared" si="35"/>
        <v/>
      </c>
      <c r="AU33">
        <f>IF((((DATASET!$C33='5 · Modern Console'!$B$4)+('5 · Modern Console'!$B$4=""))*((DATASET!$D33='5 · Modern Console'!$D$4)+('5 · Modern Console'!$D$4=""))*((DATASET!$E33='5 · Modern Console'!$F$4)+('5 · Modern Console'!$F$4=""))*((DATASET!$F33='5 · Modern Console'!$H$4)+('5 · Modern Console'!$H$4=""))*(DATASET!$G33&lt;&gt;""))&gt;0,1,0)</f>
        <v>1</v>
      </c>
      <c r="AV33">
        <f t="shared" si="36"/>
        <v>28</v>
      </c>
      <c r="AW33" s="103">
        <f>IF(AU33=1,DATASET!$I33,"")</f>
        <v>2000</v>
      </c>
      <c r="AX33" t="str">
        <f>IF(((((DATASET!$C33='5 · Modern Console'!$B$4)+('5 · Modern Console'!$B$4=""))*(DATASET!$D33&lt;&gt;"")*(DATASET!$G33&lt;&gt;""))*(SUMPRODUCT((DATASET!$D$2:$D32=DATASET!$D33)*((DATASET!$C$2:$C32='5 · Modern Console'!$B$4)+('5 · Modern Console'!$B$4=""))*(DATASET!$D$2:$D32&lt;&gt;"")*(DATASET!$G$2:$G32&lt;&gt;""))=0))&gt;0,DATASET!$D33,"")</f>
        <v xml:space="preserve">A.IV) Riserva legale</v>
      </c>
      <c r="AY33">
        <f t="shared" si="37"/>
        <v>11</v>
      </c>
      <c r="AZ33" t="str">
        <f>IF(((((DATASET!$C33='5 · Modern Console'!$B$4)+('5 · Modern Console'!$B$4=""))*((DATASET!$D33='5 · Modern Console'!$D$4)+('5 · Modern Console'!$D$4=""))*(DATASET!$E33&lt;&gt;"")*(DATASET!$G33&lt;&gt;""))*(SUMPRODUCT((DATASET!$E$2:$E32=DATASET!$E33)*((DATASET!$C$2:$C32='5 · Modern Console'!$B$4)+('5 · Modern Console'!$B$4=""))*((DATASET!$D$2:$D32='5 · Modern Console'!$D$4)+('5 · Modern Console'!$D$4=""))*(DATASET!$E$2:$E32&lt;&gt;"")*(DATASET!$G$2:$G32&lt;&gt;""))=0))&gt;0,DATASET!$E33,"")</f>
        <v/>
      </c>
      <c r="BA33" t="str">
        <f t="shared" si="38"/>
        <v/>
      </c>
      <c r="BB33" t="str">
        <f>IF(((((DATASET!$C33='5 · Modern Console'!$B$4)+('5 · Modern Console'!$B$4=""))*((DATASET!$D33='5 · Modern Console'!$D$4)+('5 · Modern Console'!$D$4=""))*((DATASET!$E33='5 · Modern Console'!$F$4)+('5 · Modern Console'!$F$4=""))*(DATASET!$F33&lt;&gt;"")*(DATASET!$G33&lt;&gt;""))*(SUMPRODUCT((DATASET!$F$2:$F32=DATASET!$F33)*((DATASET!$C$2:$C32='5 · Modern Console'!$B$4)+('5 · Modern Console'!$B$4=""))*((DATASET!$D$2:$D32='5 · Modern Console'!$D$4)+('5 · Modern Console'!$D$4=""))*((DATASET!$E$2:$E32='5 · Modern Console'!$F$4)+('5 · Modern Console'!$F$4=""))*(DATASET!$F$2:$F32&lt;&gt;"")*(DATASET!$G$2:$G32&lt;&gt;""))=0))&gt;0,DATASET!$F33,"")</f>
        <v/>
      </c>
      <c r="BC33" t="str">
        <f t="shared" si="39"/>
        <v/>
      </c>
    </row>
    <row r="34" ht="15" customHeight="1">
      <c r="C34">
        <f>IF((((DATASET!$C34='1 · Executive View'!$B$6)+('1 · Executive View'!$B$6=""))*((DATASET!$D34='1 · Executive View'!$D$6)+('1 · Executive View'!$D$6=""))*((DATASET!$E34='1 · Executive View'!$F$6)+('1 · Executive View'!$F$6=""))*((DATASET!$F34='1 · Executive View'!$H$6)+('1 · Executive View'!$H$6=""))*(DATASET!$G34&lt;&gt;""))&gt;0,1,0)</f>
        <v>0</v>
      </c>
      <c r="D34" t="str">
        <f t="shared" si="20"/>
        <v/>
      </c>
      <c r="E34" t="str">
        <f>IF(C34=1,DATASET!$I34,"")</f>
        <v/>
      </c>
      <c r="F34" t="str">
        <f>IF(((((DATASET!$C34='1 · Executive View'!$B$6)+('1 · Executive View'!$B$6=""))*(DATASET!$D34&lt;&gt;"")*(DATASET!$G34&lt;&gt;""))*(SUMPRODUCT((DATASET!$D$2:$D33=DATASET!$D34)*((DATASET!$C$2:$C33='1 · Executive View'!$B$6)+('1 · Executive View'!$B$6=""))*(DATASET!$D$2:$D33&lt;&gt;"")*(DATASET!$G$2:$G33&lt;&gt;""))=0))&gt;0,DATASET!$D34,"")</f>
        <v/>
      </c>
      <c r="G34" t="str">
        <f t="shared" si="21"/>
        <v/>
      </c>
      <c r="H34" t="str">
        <f>IF(((((DATASET!$C34='1 · Executive View'!$B$6)+('1 · Executive View'!$B$6=""))*((DATASET!$D34='1 · Executive View'!$D$6)+('1 · Executive View'!$D$6=""))*(DATASET!$E34&lt;&gt;"")*(DATASET!$G34&lt;&gt;""))*(SUMPRODUCT((DATASET!$E$2:$E33=DATASET!$E34)*((DATASET!$C$2:$C33='1 · Executive View'!$B$6)+('1 · Executive View'!$B$6=""))*((DATASET!$D$2:$D33='1 · Executive View'!$D$6)+('1 · Executive View'!$D$6=""))*(DATASET!$E$2:$E33&lt;&gt;"")*(DATASET!$G$2:$G33&lt;&gt;""))=0))&gt;0,DATASET!$E34,"")</f>
        <v/>
      </c>
      <c r="I34" t="str">
        <f t="shared" si="22"/>
        <v/>
      </c>
      <c r="J34" t="str">
        <f>IF(((((DATASET!$C34='1 · Executive View'!$B$6)+('1 · Executive View'!$B$6=""))*((DATASET!$D34='1 · Executive View'!$D$6)+('1 · Executive View'!$D$6=""))*((DATASET!$E34='1 · Executive View'!$F$6)+('1 · Executive View'!$F$6=""))*(DATASET!$F34&lt;&gt;"")*(DATASET!$G34&lt;&gt;""))*(SUMPRODUCT((DATASET!$F$2:$F33=DATASET!$F34)*((DATASET!$C$2:$C33='1 · Executive View'!$B$6)+('1 · Executive View'!$B$6=""))*((DATASET!$D$2:$D33='1 · Executive View'!$D$6)+('1 · Executive View'!$D$6=""))*((DATASET!$E$2:$E33='1 · Executive View'!$F$6)+('1 · Executive View'!$F$6=""))*(DATASET!$F$2:$F33&lt;&gt;"")*(DATASET!$G$2:$G33&lt;&gt;""))=0))&gt;0,DATASET!$F34,"")</f>
        <v/>
      </c>
      <c r="K34" t="str">
        <f t="shared" si="23"/>
        <v/>
      </c>
      <c r="N34">
        <f>IF((((DATASET!$C34='2 · Sidebar Studio'!$B$7)+('2 · Sidebar Studio'!$B$7=""))*((DATASET!$D34='2 · Sidebar Studio'!$B$9)+('2 · Sidebar Studio'!$B$9=""))*((DATASET!$E34='2 · Sidebar Studio'!$B$11)+('2 · Sidebar Studio'!$B$11=""))*((DATASET!$F34='2 · Sidebar Studio'!$B$13)+('2 · Sidebar Studio'!$B$13=""))*(DATASET!$G34&lt;&gt;""))&gt;0,1,0)</f>
        <v>0</v>
      </c>
      <c r="O34" t="str">
        <f t="shared" si="24"/>
        <v/>
      </c>
      <c r="P34" t="str">
        <f>IF(N34=1,DATASET!$I34,"")</f>
        <v/>
      </c>
      <c r="Q34" t="str">
        <f>IF(((((DATASET!$C34='2 · Sidebar Studio'!$B$7)+('2 · Sidebar Studio'!$B$7=""))*(DATASET!$D34&lt;&gt;"")*(DATASET!$G34&lt;&gt;""))*(SUMPRODUCT((DATASET!$D$2:$D33=DATASET!$D34)*((DATASET!$C$2:$C33='2 · Sidebar Studio'!$B$7)+('2 · Sidebar Studio'!$B$7=""))*(DATASET!$D$2:$D33&lt;&gt;"")*(DATASET!$G$2:$G33&lt;&gt;""))=0))&gt;0,DATASET!$D34,"")</f>
        <v/>
      </c>
      <c r="R34" t="str">
        <f t="shared" si="25"/>
        <v/>
      </c>
      <c r="S34" t="str">
        <f>IF(((((DATASET!$C34='2 · Sidebar Studio'!$B$7)+('2 · Sidebar Studio'!$B$7=""))*((DATASET!$D34='2 · Sidebar Studio'!$B$9)+('2 · Sidebar Studio'!$B$9=""))*(DATASET!$E34&lt;&gt;"")*(DATASET!$G34&lt;&gt;""))*(SUMPRODUCT((DATASET!$E$2:$E33=DATASET!$E34)*((DATASET!$C$2:$C33='2 · Sidebar Studio'!$B$7)+('2 · Sidebar Studio'!$B$7=""))*((DATASET!$D$2:$D33='2 · Sidebar Studio'!$B$9)+('2 · Sidebar Studio'!$B$9=""))*(DATASET!$E$2:$E33&lt;&gt;"")*(DATASET!$G$2:$G33&lt;&gt;""))=0))&gt;0,DATASET!$E34,"")</f>
        <v/>
      </c>
      <c r="T34" t="str">
        <f t="shared" si="26"/>
        <v/>
      </c>
      <c r="U34" t="str">
        <f>IF(((((DATASET!$C34='2 · Sidebar Studio'!$B$7)+('2 · Sidebar Studio'!$B$7=""))*((DATASET!$D34='2 · Sidebar Studio'!$B$9)+('2 · Sidebar Studio'!$B$9=""))*((DATASET!$E34='2 · Sidebar Studio'!$B$11)+('2 · Sidebar Studio'!$B$11=""))*(DATASET!$F34&lt;&gt;"")*(DATASET!$G34&lt;&gt;""))*(SUMPRODUCT((DATASET!$F$2:$F33=DATASET!$F34)*((DATASET!$C$2:$C33='2 · Sidebar Studio'!$B$7)+('2 · Sidebar Studio'!$B$7=""))*((DATASET!$D$2:$D33='2 · Sidebar Studio'!$B$9)+('2 · Sidebar Studio'!$B$9=""))*((DATASET!$E$2:$E33='2 · Sidebar Studio'!$B$11)+('2 · Sidebar Studio'!$B$11=""))*(DATASET!$F$2:$F33&lt;&gt;"")*(DATASET!$G$2:$G33&lt;&gt;""))=0))&gt;0,DATASET!$F34,"")</f>
        <v/>
      </c>
      <c r="V34" t="str">
        <f t="shared" si="27"/>
        <v/>
      </c>
      <c r="Y34">
        <f>IF((((DATASET!$C34='3 · KPI Cards'!$B$9)+('3 · KPI Cards'!$B$9=""))*((DATASET!$D34='3 · KPI Cards'!$D$9)+('3 · KPI Cards'!$D$9=""))*((DATASET!$E34='3 · KPI Cards'!$F$9)+('3 · KPI Cards'!$F$9=""))*((DATASET!$F34='3 · KPI Cards'!$H$9)+('3 · KPI Cards'!$H$9=""))*(DATASET!$G34&lt;&gt;""))&gt;0,1,0)</f>
        <v>0</v>
      </c>
      <c r="Z34" t="str">
        <f t="shared" si="28"/>
        <v/>
      </c>
      <c r="AA34" t="str">
        <f>IF(Y34=1,DATASET!$I34,"")</f>
        <v/>
      </c>
      <c r="AB34" t="str">
        <f>IF(((((DATASET!$C34='3 · KPI Cards'!$B$9)+('3 · KPI Cards'!$B$9=""))*(DATASET!$D34&lt;&gt;"")*(DATASET!$G34&lt;&gt;""))*(SUMPRODUCT((DATASET!$D$2:$D33=DATASET!$D34)*((DATASET!$C$2:$C33='3 · KPI Cards'!$B$9)+('3 · KPI Cards'!$B$9=""))*(DATASET!$D$2:$D33&lt;&gt;"")*(DATASET!$G$2:$G33&lt;&gt;""))=0))&gt;0,DATASET!$D34,"")</f>
        <v/>
      </c>
      <c r="AC34" t="str">
        <f t="shared" si="29"/>
        <v/>
      </c>
      <c r="AD34" t="str">
        <f>IF(((((DATASET!$C34='3 · KPI Cards'!$B$9)+('3 · KPI Cards'!$B$9=""))*((DATASET!$D34='3 · KPI Cards'!$D$9)+('3 · KPI Cards'!$D$9=""))*(DATASET!$E34&lt;&gt;"")*(DATASET!$G34&lt;&gt;""))*(SUMPRODUCT((DATASET!$E$2:$E33=DATASET!$E34)*((DATASET!$C$2:$C33='3 · KPI Cards'!$B$9)+('3 · KPI Cards'!$B$9=""))*((DATASET!$D$2:$D33='3 · KPI Cards'!$D$9)+('3 · KPI Cards'!$D$9=""))*(DATASET!$E$2:$E33&lt;&gt;"")*(DATASET!$G$2:$G33&lt;&gt;""))=0))&gt;0,DATASET!$E34,"")</f>
        <v/>
      </c>
      <c r="AE34" t="str">
        <f t="shared" si="30"/>
        <v/>
      </c>
      <c r="AF34" t="str">
        <f>IF(((((DATASET!$C34='3 · KPI Cards'!$B$9)+('3 · KPI Cards'!$B$9=""))*((DATASET!$D34='3 · KPI Cards'!$D$9)+('3 · KPI Cards'!$D$9=""))*((DATASET!$E34='3 · KPI Cards'!$F$9)+('3 · KPI Cards'!$F$9=""))*(DATASET!$F34&lt;&gt;"")*(DATASET!$G34&lt;&gt;""))*(SUMPRODUCT((DATASET!$F$2:$F33=DATASET!$F34)*((DATASET!$C$2:$C33='3 · KPI Cards'!$B$9)+('3 · KPI Cards'!$B$9=""))*((DATASET!$D$2:$D33='3 · KPI Cards'!$D$9)+('3 · KPI Cards'!$D$9=""))*((DATASET!$E$2:$E33='3 · KPI Cards'!$F$9)+('3 · KPI Cards'!$F$9=""))*(DATASET!$F$2:$F33&lt;&gt;"")*(DATASET!$G$2:$G33&lt;&gt;""))=0))&gt;0,DATASET!$F34,"")</f>
        <v/>
      </c>
      <c r="AG34" t="str">
        <f t="shared" si="31"/>
        <v/>
      </c>
      <c r="AJ34">
        <f>IF((((DATASET!$C34='4 · Board Report'!$D$5)+('4 · Board Report'!$D$5=""))*((DATASET!$D34='4 · Board Report'!$D$6)+('4 · Board Report'!$D$6=""))*((DATASET!$E34='4 · Board Report'!$D$7)+('4 · Board Report'!$D$7=""))*((DATASET!$F34='4 · Board Report'!$D$8)+('4 · Board Report'!$D$8=""))*(DATASET!$G34&lt;&gt;""))&gt;0,1,0)</f>
        <v>0</v>
      </c>
      <c r="AK34" t="str">
        <f t="shared" si="32"/>
        <v/>
      </c>
      <c r="AL34" t="str">
        <f>IF(AJ34=1,DATASET!$I34,"")</f>
        <v/>
      </c>
      <c r="AM34" t="str">
        <f>IF(((((DATASET!$C34='4 · Board Report'!$D$5)+('4 · Board Report'!$D$5=""))*(DATASET!$D34&lt;&gt;"")*(DATASET!$G34&lt;&gt;""))*(SUMPRODUCT((DATASET!$D$2:$D33=DATASET!$D34)*((DATASET!$C$2:$C33='4 · Board Report'!$D$5)+('4 · Board Report'!$D$5=""))*(DATASET!$D$2:$D33&lt;&gt;"")*(DATASET!$G$2:$G33&lt;&gt;""))=0))&gt;0,DATASET!$D34,"")</f>
        <v/>
      </c>
      <c r="AN34" t="str">
        <f t="shared" si="33"/>
        <v/>
      </c>
      <c r="AO34" t="str">
        <f>IF(((((DATASET!$C34='4 · Board Report'!$D$5)+('4 · Board Report'!$D$5=""))*((DATASET!$D34='4 · Board Report'!$D$6)+('4 · Board Report'!$D$6=""))*(DATASET!$E34&lt;&gt;"")*(DATASET!$G34&lt;&gt;""))*(SUMPRODUCT((DATASET!$E$2:$E33=DATASET!$E34)*((DATASET!$C$2:$C33='4 · Board Report'!$D$5)+('4 · Board Report'!$D$5=""))*((DATASET!$D$2:$D33='4 · Board Report'!$D$6)+('4 · Board Report'!$D$6=""))*(DATASET!$E$2:$E33&lt;&gt;"")*(DATASET!$G$2:$G33&lt;&gt;""))=0))&gt;0,DATASET!$E34,"")</f>
        <v/>
      </c>
      <c r="AP34" t="str">
        <f t="shared" si="34"/>
        <v/>
      </c>
      <c r="AQ34" t="str">
        <f>IF(((((DATASET!$C34='4 · Board Report'!$D$5)+('4 · Board Report'!$D$5=""))*((DATASET!$D34='4 · Board Report'!$D$6)+('4 · Board Report'!$D$6=""))*((DATASET!$E34='4 · Board Report'!$D$7)+('4 · Board Report'!$D$7=""))*(DATASET!$F34&lt;&gt;"")*(DATASET!$G34&lt;&gt;""))*(SUMPRODUCT((DATASET!$F$2:$F33=DATASET!$F34)*((DATASET!$C$2:$C33='4 · Board Report'!$D$5)+('4 · Board Report'!$D$5=""))*((DATASET!$D$2:$D33='4 · Board Report'!$D$6)+('4 · Board Report'!$D$6=""))*((DATASET!$E$2:$E33='4 · Board Report'!$D$7)+('4 · Board Report'!$D$7=""))*(DATASET!$F$2:$F33&lt;&gt;"")*(DATASET!$G$2:$G33&lt;&gt;""))=0))&gt;0,DATASET!$F34,"")</f>
        <v/>
      </c>
      <c r="AR34" t="str">
        <f t="shared" si="35"/>
        <v/>
      </c>
      <c r="AU34">
        <f>IF((((DATASET!$C34='5 · Modern Console'!$B$4)+('5 · Modern Console'!$B$4=""))*((DATASET!$D34='5 · Modern Console'!$D$4)+('5 · Modern Console'!$D$4=""))*((DATASET!$E34='5 · Modern Console'!$F$4)+('5 · Modern Console'!$F$4=""))*((DATASET!$F34='5 · Modern Console'!$H$4)+('5 · Modern Console'!$H$4=""))*(DATASET!$G34&lt;&gt;""))&gt;0,1,0)</f>
        <v>0</v>
      </c>
      <c r="AV34" t="str">
        <f t="shared" si="36"/>
        <v/>
      </c>
      <c r="AW34" t="str">
        <f>IF(AU34=1,DATASET!$I34,"")</f>
        <v/>
      </c>
      <c r="AX34" t="str">
        <f>IF(((((DATASET!$C34='5 · Modern Console'!$B$4)+('5 · Modern Console'!$B$4=""))*(DATASET!$D34&lt;&gt;"")*(DATASET!$G34&lt;&gt;""))*(SUMPRODUCT((DATASET!$D$2:$D33=DATASET!$D34)*((DATASET!$C$2:$C33='5 · Modern Console'!$B$4)+('5 · Modern Console'!$B$4=""))*(DATASET!$D$2:$D33&lt;&gt;"")*(DATASET!$G$2:$G33&lt;&gt;""))=0))&gt;0,DATASET!$D34,"")</f>
        <v/>
      </c>
      <c r="AY34" t="str">
        <f t="shared" si="37"/>
        <v/>
      </c>
      <c r="AZ34" t="str">
        <f>IF(((((DATASET!$C34='5 · Modern Console'!$B$4)+('5 · Modern Console'!$B$4=""))*((DATASET!$D34='5 · Modern Console'!$D$4)+('5 · Modern Console'!$D$4=""))*(DATASET!$E34&lt;&gt;"")*(DATASET!$G34&lt;&gt;""))*(SUMPRODUCT((DATASET!$E$2:$E33=DATASET!$E34)*((DATASET!$C$2:$C33='5 · Modern Console'!$B$4)+('5 · Modern Console'!$B$4=""))*((DATASET!$D$2:$D33='5 · Modern Console'!$D$4)+('5 · Modern Console'!$D$4=""))*(DATASET!$E$2:$E33&lt;&gt;"")*(DATASET!$G$2:$G33&lt;&gt;""))=0))&gt;0,DATASET!$E34,"")</f>
        <v/>
      </c>
      <c r="BA34" t="str">
        <f t="shared" si="38"/>
        <v/>
      </c>
      <c r="BB34" t="str">
        <f>IF(((((DATASET!$C34='5 · Modern Console'!$B$4)+('5 · Modern Console'!$B$4=""))*((DATASET!$D34='5 · Modern Console'!$D$4)+('5 · Modern Console'!$D$4=""))*((DATASET!$E34='5 · Modern Console'!$F$4)+('5 · Modern Console'!$F$4=""))*(DATASET!$F34&lt;&gt;"")*(DATASET!$G34&lt;&gt;""))*(SUMPRODUCT((DATASET!$F$2:$F33=DATASET!$F34)*((DATASET!$C$2:$C33='5 · Modern Console'!$B$4)+('5 · Modern Console'!$B$4=""))*((DATASET!$D$2:$D33='5 · Modern Console'!$D$4)+('5 · Modern Console'!$D$4=""))*((DATASET!$E$2:$E33='5 · Modern Console'!$F$4)+('5 · Modern Console'!$F$4=""))*(DATASET!$F$2:$F33&lt;&gt;"")*(DATASET!$G$2:$G33&lt;&gt;""))=0))&gt;0,DATASET!$F34,"")</f>
        <v/>
      </c>
      <c r="BC34" t="str">
        <f t="shared" si="39"/>
        <v/>
      </c>
    </row>
    <row r="35" ht="15" customHeight="1">
      <c r="C35">
        <f>IF((((DATASET!$C35='1 · Executive View'!$B$6)+('1 · Executive View'!$B$6=""))*((DATASET!$D35='1 · Executive View'!$D$6)+('1 · Executive View'!$D$6=""))*((DATASET!$E35='1 · Executive View'!$F$6)+('1 · Executive View'!$F$6=""))*((DATASET!$F35='1 · Executive View'!$H$6)+('1 · Executive View'!$H$6=""))*(DATASET!$G35&lt;&gt;""))&gt;0,1,0)</f>
        <v>0</v>
      </c>
      <c r="D35" t="str">
        <f t="shared" si="20"/>
        <v/>
      </c>
      <c r="E35" s="103" t="str">
        <f>IF(C35=1,DATASET!$I35,"")</f>
        <v/>
      </c>
      <c r="F35" t="str">
        <f>IF(((((DATASET!$C35='1 · Executive View'!$B$6)+('1 · Executive View'!$B$6=""))*(DATASET!$D35&lt;&gt;"")*(DATASET!$G35&lt;&gt;""))*(SUMPRODUCT((DATASET!$D$2:$D34=DATASET!$D35)*((DATASET!$C$2:$C34='1 · Executive View'!$B$6)+('1 · Executive View'!$B$6=""))*(DATASET!$D$2:$D34&lt;&gt;"")*(DATASET!$G$2:$G34&lt;&gt;""))=0))&gt;0,DATASET!$D35,"")</f>
        <v/>
      </c>
      <c r="G35" t="str">
        <f t="shared" si="21"/>
        <v/>
      </c>
      <c r="H35" t="str">
        <f>IF(((((DATASET!$C35='1 · Executive View'!$B$6)+('1 · Executive View'!$B$6=""))*((DATASET!$D35='1 · Executive View'!$D$6)+('1 · Executive View'!$D$6=""))*(DATASET!$E35&lt;&gt;"")*(DATASET!$G35&lt;&gt;""))*(SUMPRODUCT((DATASET!$E$2:$E34=DATASET!$E35)*((DATASET!$C$2:$C34='1 · Executive View'!$B$6)+('1 · Executive View'!$B$6=""))*((DATASET!$D$2:$D34='1 · Executive View'!$D$6)+('1 · Executive View'!$D$6=""))*(DATASET!$E$2:$E34&lt;&gt;"")*(DATASET!$G$2:$G34&lt;&gt;""))=0))&gt;0,DATASET!$E35,"")</f>
        <v/>
      </c>
      <c r="I35" t="str">
        <f t="shared" si="22"/>
        <v/>
      </c>
      <c r="J35" t="str">
        <f>IF(((((DATASET!$C35='1 · Executive View'!$B$6)+('1 · Executive View'!$B$6=""))*((DATASET!$D35='1 · Executive View'!$D$6)+('1 · Executive View'!$D$6=""))*((DATASET!$E35='1 · Executive View'!$F$6)+('1 · Executive View'!$F$6=""))*(DATASET!$F35&lt;&gt;"")*(DATASET!$G35&lt;&gt;""))*(SUMPRODUCT((DATASET!$F$2:$F34=DATASET!$F35)*((DATASET!$C$2:$C34='1 · Executive View'!$B$6)+('1 · Executive View'!$B$6=""))*((DATASET!$D$2:$D34='1 · Executive View'!$D$6)+('1 · Executive View'!$D$6=""))*((DATASET!$E$2:$E34='1 · Executive View'!$F$6)+('1 · Executive View'!$F$6=""))*(DATASET!$F$2:$F34&lt;&gt;"")*(DATASET!$G$2:$G34&lt;&gt;""))=0))&gt;0,DATASET!$F35,"")</f>
        <v/>
      </c>
      <c r="K35" t="str">
        <f t="shared" si="23"/>
        <v/>
      </c>
      <c r="N35">
        <f>IF((((DATASET!$C35='2 · Sidebar Studio'!$B$7)+('2 · Sidebar Studio'!$B$7=""))*((DATASET!$D35='2 · Sidebar Studio'!$B$9)+('2 · Sidebar Studio'!$B$9=""))*((DATASET!$E35='2 · Sidebar Studio'!$B$11)+('2 · Sidebar Studio'!$B$11=""))*((DATASET!$F35='2 · Sidebar Studio'!$B$13)+('2 · Sidebar Studio'!$B$13=""))*(DATASET!$G35&lt;&gt;""))&gt;0,1,0)</f>
        <v>1</v>
      </c>
      <c r="O35">
        <f t="shared" si="24"/>
        <v>29</v>
      </c>
      <c r="P35" s="103">
        <f>IF(N35=1,DATASET!$I35,"")</f>
        <v>4600000</v>
      </c>
      <c r="Q35" t="str">
        <f>IF(((((DATASET!$C35='2 · Sidebar Studio'!$B$7)+('2 · Sidebar Studio'!$B$7=""))*(DATASET!$D35&lt;&gt;"")*(DATASET!$G35&lt;&gt;""))*(SUMPRODUCT((DATASET!$D$2:$D34=DATASET!$D35)*((DATASET!$C$2:$C34='2 · Sidebar Studio'!$B$7)+('2 · Sidebar Studio'!$B$7=""))*(DATASET!$D$2:$D34&lt;&gt;"")*(DATASET!$G$2:$G34&lt;&gt;""))=0))&gt;0,DATASET!$D35,"")</f>
        <v xml:space="preserve">A.VI) Altre riserve, distintamente indicate</v>
      </c>
      <c r="R35">
        <f t="shared" si="25"/>
        <v>12</v>
      </c>
      <c r="S35" t="str">
        <f>IF(((((DATASET!$C35='2 · Sidebar Studio'!$B$7)+('2 · Sidebar Studio'!$B$7=""))*((DATASET!$D35='2 · Sidebar Studio'!$B$9)+('2 · Sidebar Studio'!$B$9=""))*(DATASET!$E35&lt;&gt;"")*(DATASET!$G35&lt;&gt;""))*(SUMPRODUCT((DATASET!$E$2:$E34=DATASET!$E35)*((DATASET!$C$2:$C34='2 · Sidebar Studio'!$B$7)+('2 · Sidebar Studio'!$B$7=""))*((DATASET!$D$2:$D34='2 · Sidebar Studio'!$B$9)+('2 · Sidebar Studio'!$B$9=""))*(DATASET!$E$2:$E34&lt;&gt;"")*(DATASET!$G$2:$G34&lt;&gt;""))=0))&gt;0,DATASET!$E35,"")</f>
        <v/>
      </c>
      <c r="T35" t="str">
        <f t="shared" si="26"/>
        <v/>
      </c>
      <c r="U35" t="str">
        <f>IF(((((DATASET!$C35='2 · Sidebar Studio'!$B$7)+('2 · Sidebar Studio'!$B$7=""))*((DATASET!$D35='2 · Sidebar Studio'!$B$9)+('2 · Sidebar Studio'!$B$9=""))*((DATASET!$E35='2 · Sidebar Studio'!$B$11)+('2 · Sidebar Studio'!$B$11=""))*(DATASET!$F35&lt;&gt;"")*(DATASET!$G35&lt;&gt;""))*(SUMPRODUCT((DATASET!$F$2:$F34=DATASET!$F35)*((DATASET!$C$2:$C34='2 · Sidebar Studio'!$B$7)+('2 · Sidebar Studio'!$B$7=""))*((DATASET!$D$2:$D34='2 · Sidebar Studio'!$B$9)+('2 · Sidebar Studio'!$B$9=""))*((DATASET!$E$2:$E34='2 · Sidebar Studio'!$B$11)+('2 · Sidebar Studio'!$B$11=""))*(DATASET!$F$2:$F34&lt;&gt;"")*(DATASET!$G$2:$G34&lt;&gt;""))=0))&gt;0,DATASET!$F35,"")</f>
        <v/>
      </c>
      <c r="V35" t="str">
        <f t="shared" si="27"/>
        <v/>
      </c>
      <c r="Y35">
        <f>IF((((DATASET!$C35='3 · KPI Cards'!$B$9)+('3 · KPI Cards'!$B$9=""))*((DATASET!$D35='3 · KPI Cards'!$D$9)+('3 · KPI Cards'!$D$9=""))*((DATASET!$E35='3 · KPI Cards'!$F$9)+('3 · KPI Cards'!$F$9=""))*((DATASET!$F35='3 · KPI Cards'!$H$9)+('3 · KPI Cards'!$H$9=""))*(DATASET!$G35&lt;&gt;""))&gt;0,1,0)</f>
        <v>1</v>
      </c>
      <c r="Z35">
        <f t="shared" si="28"/>
        <v>29</v>
      </c>
      <c r="AA35" s="103">
        <f>IF(Y35=1,DATASET!$I35,"")</f>
        <v>4600000</v>
      </c>
      <c r="AB35" t="str">
        <f>IF(((((DATASET!$C35='3 · KPI Cards'!$B$9)+('3 · KPI Cards'!$B$9=""))*(DATASET!$D35&lt;&gt;"")*(DATASET!$G35&lt;&gt;""))*(SUMPRODUCT((DATASET!$D$2:$D34=DATASET!$D35)*((DATASET!$C$2:$C34='3 · KPI Cards'!$B$9)+('3 · KPI Cards'!$B$9=""))*(DATASET!$D$2:$D34&lt;&gt;"")*(DATASET!$G$2:$G34&lt;&gt;""))=0))&gt;0,DATASET!$D35,"")</f>
        <v xml:space="preserve">A.VI) Altre riserve, distintamente indicate</v>
      </c>
      <c r="AC35">
        <f t="shared" si="29"/>
        <v>12</v>
      </c>
      <c r="AD35" t="str">
        <f>IF(((((DATASET!$C35='3 · KPI Cards'!$B$9)+('3 · KPI Cards'!$B$9=""))*((DATASET!$D35='3 · KPI Cards'!$D$9)+('3 · KPI Cards'!$D$9=""))*(DATASET!$E35&lt;&gt;"")*(DATASET!$G35&lt;&gt;""))*(SUMPRODUCT((DATASET!$E$2:$E34=DATASET!$E35)*((DATASET!$C$2:$C34='3 · KPI Cards'!$B$9)+('3 · KPI Cards'!$B$9=""))*((DATASET!$D$2:$D34='3 · KPI Cards'!$D$9)+('3 · KPI Cards'!$D$9=""))*(DATASET!$E$2:$E34&lt;&gt;"")*(DATASET!$G$2:$G34&lt;&gt;""))=0))&gt;0,DATASET!$E35,"")</f>
        <v/>
      </c>
      <c r="AE35" t="str">
        <f t="shared" si="30"/>
        <v/>
      </c>
      <c r="AF35" t="str">
        <f>IF(((((DATASET!$C35='3 · KPI Cards'!$B$9)+('3 · KPI Cards'!$B$9=""))*((DATASET!$D35='3 · KPI Cards'!$D$9)+('3 · KPI Cards'!$D$9=""))*((DATASET!$E35='3 · KPI Cards'!$F$9)+('3 · KPI Cards'!$F$9=""))*(DATASET!$F35&lt;&gt;"")*(DATASET!$G35&lt;&gt;""))*(SUMPRODUCT((DATASET!$F$2:$F34=DATASET!$F35)*((DATASET!$C$2:$C34='3 · KPI Cards'!$B$9)+('3 · KPI Cards'!$B$9=""))*((DATASET!$D$2:$D34='3 · KPI Cards'!$D$9)+('3 · KPI Cards'!$D$9=""))*((DATASET!$E$2:$E34='3 · KPI Cards'!$F$9)+('3 · KPI Cards'!$F$9=""))*(DATASET!$F$2:$F34&lt;&gt;"")*(DATASET!$G$2:$G34&lt;&gt;""))=0))&gt;0,DATASET!$F35,"")</f>
        <v/>
      </c>
      <c r="AG35" t="str">
        <f t="shared" si="31"/>
        <v/>
      </c>
      <c r="AJ35">
        <f>IF((((DATASET!$C35='4 · Board Report'!$D$5)+('4 · Board Report'!$D$5=""))*((DATASET!$D35='4 · Board Report'!$D$6)+('4 · Board Report'!$D$6=""))*((DATASET!$E35='4 · Board Report'!$D$7)+('4 · Board Report'!$D$7=""))*((DATASET!$F35='4 · Board Report'!$D$8)+('4 · Board Report'!$D$8=""))*(DATASET!$G35&lt;&gt;""))&gt;0,1,0)</f>
        <v>0</v>
      </c>
      <c r="AK35" t="str">
        <f t="shared" si="32"/>
        <v/>
      </c>
      <c r="AL35" s="103" t="str">
        <f>IF(AJ35=1,DATASET!$I35,"")</f>
        <v/>
      </c>
      <c r="AM35" t="str">
        <f>IF(((((DATASET!$C35='4 · Board Report'!$D$5)+('4 · Board Report'!$D$5=""))*(DATASET!$D35&lt;&gt;"")*(DATASET!$G35&lt;&gt;""))*(SUMPRODUCT((DATASET!$D$2:$D34=DATASET!$D35)*((DATASET!$C$2:$C34='4 · Board Report'!$D$5)+('4 · Board Report'!$D$5=""))*(DATASET!$D$2:$D34&lt;&gt;"")*(DATASET!$G$2:$G34&lt;&gt;""))=0))&gt;0,DATASET!$D35,"")</f>
        <v/>
      </c>
      <c r="AN35" t="str">
        <f t="shared" si="33"/>
        <v/>
      </c>
      <c r="AO35" t="str">
        <f>IF(((((DATASET!$C35='4 · Board Report'!$D$5)+('4 · Board Report'!$D$5=""))*((DATASET!$D35='4 · Board Report'!$D$6)+('4 · Board Report'!$D$6=""))*(DATASET!$E35&lt;&gt;"")*(DATASET!$G35&lt;&gt;""))*(SUMPRODUCT((DATASET!$E$2:$E34=DATASET!$E35)*((DATASET!$C$2:$C34='4 · Board Report'!$D$5)+('4 · Board Report'!$D$5=""))*((DATASET!$D$2:$D34='4 · Board Report'!$D$6)+('4 · Board Report'!$D$6=""))*(DATASET!$E$2:$E34&lt;&gt;"")*(DATASET!$G$2:$G34&lt;&gt;""))=0))&gt;0,DATASET!$E35,"")</f>
        <v/>
      </c>
      <c r="AP35" t="str">
        <f t="shared" si="34"/>
        <v/>
      </c>
      <c r="AQ35" t="str">
        <f>IF(((((DATASET!$C35='4 · Board Report'!$D$5)+('4 · Board Report'!$D$5=""))*((DATASET!$D35='4 · Board Report'!$D$6)+('4 · Board Report'!$D$6=""))*((DATASET!$E35='4 · Board Report'!$D$7)+('4 · Board Report'!$D$7=""))*(DATASET!$F35&lt;&gt;"")*(DATASET!$G35&lt;&gt;""))*(SUMPRODUCT((DATASET!$F$2:$F34=DATASET!$F35)*((DATASET!$C$2:$C34='4 · Board Report'!$D$5)+('4 · Board Report'!$D$5=""))*((DATASET!$D$2:$D34='4 · Board Report'!$D$6)+('4 · Board Report'!$D$6=""))*((DATASET!$E$2:$E34='4 · Board Report'!$D$7)+('4 · Board Report'!$D$7=""))*(DATASET!$F$2:$F34&lt;&gt;"")*(DATASET!$G$2:$G34&lt;&gt;""))=0))&gt;0,DATASET!$F35,"")</f>
        <v/>
      </c>
      <c r="AR35" t="str">
        <f t="shared" si="35"/>
        <v/>
      </c>
      <c r="AU35">
        <f>IF((((DATASET!$C35='5 · Modern Console'!$B$4)+('5 · Modern Console'!$B$4=""))*((DATASET!$D35='5 · Modern Console'!$D$4)+('5 · Modern Console'!$D$4=""))*((DATASET!$E35='5 · Modern Console'!$F$4)+('5 · Modern Console'!$F$4=""))*((DATASET!$F35='5 · Modern Console'!$H$4)+('5 · Modern Console'!$H$4=""))*(DATASET!$G35&lt;&gt;""))&gt;0,1,0)</f>
        <v>1</v>
      </c>
      <c r="AV35">
        <f t="shared" si="36"/>
        <v>29</v>
      </c>
      <c r="AW35" s="103">
        <f>IF(AU35=1,DATASET!$I35,"")</f>
        <v>4600000</v>
      </c>
      <c r="AX35" t="str">
        <f>IF(((((DATASET!$C35='5 · Modern Console'!$B$4)+('5 · Modern Console'!$B$4=""))*(DATASET!$D35&lt;&gt;"")*(DATASET!$G35&lt;&gt;""))*(SUMPRODUCT((DATASET!$D$2:$D34=DATASET!$D35)*((DATASET!$C$2:$C34='5 · Modern Console'!$B$4)+('5 · Modern Console'!$B$4=""))*(DATASET!$D$2:$D34&lt;&gt;"")*(DATASET!$G$2:$G34&lt;&gt;""))=0))&gt;0,DATASET!$D35,"")</f>
        <v xml:space="preserve">A.VI) Altre riserve, distintamente indicate</v>
      </c>
      <c r="AY35">
        <f t="shared" si="37"/>
        <v>12</v>
      </c>
      <c r="AZ35" t="str">
        <f>IF(((((DATASET!$C35='5 · Modern Console'!$B$4)+('5 · Modern Console'!$B$4=""))*((DATASET!$D35='5 · Modern Console'!$D$4)+('5 · Modern Console'!$D$4=""))*(DATASET!$E35&lt;&gt;"")*(DATASET!$G35&lt;&gt;""))*(SUMPRODUCT((DATASET!$E$2:$E34=DATASET!$E35)*((DATASET!$C$2:$C34='5 · Modern Console'!$B$4)+('5 · Modern Console'!$B$4=""))*((DATASET!$D$2:$D34='5 · Modern Console'!$D$4)+('5 · Modern Console'!$D$4=""))*(DATASET!$E$2:$E34&lt;&gt;"")*(DATASET!$G$2:$G34&lt;&gt;""))=0))&gt;0,DATASET!$E35,"")</f>
        <v/>
      </c>
      <c r="BA35" t="str">
        <f t="shared" si="38"/>
        <v/>
      </c>
      <c r="BB35" t="str">
        <f>IF(((((DATASET!$C35='5 · Modern Console'!$B$4)+('5 · Modern Console'!$B$4=""))*((DATASET!$D35='5 · Modern Console'!$D$4)+('5 · Modern Console'!$D$4=""))*((DATASET!$E35='5 · Modern Console'!$F$4)+('5 · Modern Console'!$F$4=""))*(DATASET!$F35&lt;&gt;"")*(DATASET!$G35&lt;&gt;""))*(SUMPRODUCT((DATASET!$F$2:$F34=DATASET!$F35)*((DATASET!$C$2:$C34='5 · Modern Console'!$B$4)+('5 · Modern Console'!$B$4=""))*((DATASET!$D$2:$D34='5 · Modern Console'!$D$4)+('5 · Modern Console'!$D$4=""))*((DATASET!$E$2:$E34='5 · Modern Console'!$F$4)+('5 · Modern Console'!$F$4=""))*(DATASET!$F$2:$F34&lt;&gt;"")*(DATASET!$G$2:$G34&lt;&gt;""))=0))&gt;0,DATASET!$F35,"")</f>
        <v/>
      </c>
      <c r="BC35" t="str">
        <f t="shared" si="39"/>
        <v/>
      </c>
    </row>
    <row r="36" ht="15" customHeight="1">
      <c r="C36">
        <f>IF((((DATASET!$C36='1 · Executive View'!$B$6)+('1 · Executive View'!$B$6=""))*((DATASET!$D36='1 · Executive View'!$D$6)+('1 · Executive View'!$D$6=""))*((DATASET!$E36='1 · Executive View'!$F$6)+('1 · Executive View'!$F$6=""))*((DATASET!$F36='1 · Executive View'!$H$6)+('1 · Executive View'!$H$6=""))*(DATASET!$G36&lt;&gt;""))&gt;0,1,0)</f>
        <v>0</v>
      </c>
      <c r="D36" t="str">
        <f t="shared" si="20"/>
        <v/>
      </c>
      <c r="E36" s="103" t="str">
        <f>IF(C36=1,DATASET!$I36,"")</f>
        <v/>
      </c>
      <c r="F36" t="str">
        <f>IF(((((DATASET!$C36='1 · Executive View'!$B$6)+('1 · Executive View'!$B$6=""))*(DATASET!$D36&lt;&gt;"")*(DATASET!$G36&lt;&gt;""))*(SUMPRODUCT((DATASET!$D$2:$D35=DATASET!$D36)*((DATASET!$C$2:$C35='1 · Executive View'!$B$6)+('1 · Executive View'!$B$6=""))*(DATASET!$D$2:$D35&lt;&gt;"")*(DATASET!$G$2:$G35&lt;&gt;""))=0))&gt;0,DATASET!$D36,"")</f>
        <v/>
      </c>
      <c r="G36" t="str">
        <f t="shared" si="21"/>
        <v/>
      </c>
      <c r="H36" t="str">
        <f>IF(((((DATASET!$C36='1 · Executive View'!$B$6)+('1 · Executive View'!$B$6=""))*((DATASET!$D36='1 · Executive View'!$D$6)+('1 · Executive View'!$D$6=""))*(DATASET!$E36&lt;&gt;"")*(DATASET!$G36&lt;&gt;""))*(SUMPRODUCT((DATASET!$E$2:$E35=DATASET!$E36)*((DATASET!$C$2:$C35='1 · Executive View'!$B$6)+('1 · Executive View'!$B$6=""))*((DATASET!$D$2:$D35='1 · Executive View'!$D$6)+('1 · Executive View'!$D$6=""))*(DATASET!$E$2:$E35&lt;&gt;"")*(DATASET!$G$2:$G35&lt;&gt;""))=0))&gt;0,DATASET!$E36,"")</f>
        <v/>
      </c>
      <c r="I36" t="str">
        <f t="shared" si="22"/>
        <v/>
      </c>
      <c r="J36" t="str">
        <f>IF(((((DATASET!$C36='1 · Executive View'!$B$6)+('1 · Executive View'!$B$6=""))*((DATASET!$D36='1 · Executive View'!$D$6)+('1 · Executive View'!$D$6=""))*((DATASET!$E36='1 · Executive View'!$F$6)+('1 · Executive View'!$F$6=""))*(DATASET!$F36&lt;&gt;"")*(DATASET!$G36&lt;&gt;""))*(SUMPRODUCT((DATASET!$F$2:$F35=DATASET!$F36)*((DATASET!$C$2:$C35='1 · Executive View'!$B$6)+('1 · Executive View'!$B$6=""))*((DATASET!$D$2:$D35='1 · Executive View'!$D$6)+('1 · Executive View'!$D$6=""))*((DATASET!$E$2:$E35='1 · Executive View'!$F$6)+('1 · Executive View'!$F$6=""))*(DATASET!$F$2:$F35&lt;&gt;"")*(DATASET!$G$2:$G35&lt;&gt;""))=0))&gt;0,DATASET!$F36,"")</f>
        <v/>
      </c>
      <c r="K36" t="str">
        <f t="shared" si="23"/>
        <v/>
      </c>
      <c r="N36">
        <f>IF((((DATASET!$C36='2 · Sidebar Studio'!$B$7)+('2 · Sidebar Studio'!$B$7=""))*((DATASET!$D36='2 · Sidebar Studio'!$B$9)+('2 · Sidebar Studio'!$B$9=""))*((DATASET!$E36='2 · Sidebar Studio'!$B$11)+('2 · Sidebar Studio'!$B$11=""))*((DATASET!$F36='2 · Sidebar Studio'!$B$13)+('2 · Sidebar Studio'!$B$13=""))*(DATASET!$G36&lt;&gt;""))&gt;0,1,0)</f>
        <v>1</v>
      </c>
      <c r="O36">
        <f t="shared" si="24"/>
        <v>30</v>
      </c>
      <c r="P36" s="103">
        <f>IF(N36=1,DATASET!$I36,"")</f>
        <v>3412465.7799999998</v>
      </c>
      <c r="Q36" t="str">
        <f>IF(((((DATASET!$C36='2 · Sidebar Studio'!$B$7)+('2 · Sidebar Studio'!$B$7=""))*(DATASET!$D36&lt;&gt;"")*(DATASET!$G36&lt;&gt;""))*(SUMPRODUCT((DATASET!$D$2:$D35=DATASET!$D36)*((DATASET!$C$2:$C35='2 · Sidebar Studio'!$B$7)+('2 · Sidebar Studio'!$B$7=""))*(DATASET!$D$2:$D35&lt;&gt;"")*(DATASET!$G$2:$G35&lt;&gt;""))=0))&gt;0,DATASET!$D36,"")</f>
        <v xml:space="preserve">A.VIII) Utili (perdite) portati a nuovo</v>
      </c>
      <c r="R36">
        <f t="shared" si="25"/>
        <v>13</v>
      </c>
      <c r="S36" t="str">
        <f>IF(((((DATASET!$C36='2 · Sidebar Studio'!$B$7)+('2 · Sidebar Studio'!$B$7=""))*((DATASET!$D36='2 · Sidebar Studio'!$B$9)+('2 · Sidebar Studio'!$B$9=""))*(DATASET!$E36&lt;&gt;"")*(DATASET!$G36&lt;&gt;""))*(SUMPRODUCT((DATASET!$E$2:$E35=DATASET!$E36)*((DATASET!$C$2:$C35='2 · Sidebar Studio'!$B$7)+('2 · Sidebar Studio'!$B$7=""))*((DATASET!$D$2:$D35='2 · Sidebar Studio'!$B$9)+('2 · Sidebar Studio'!$B$9=""))*(DATASET!$E$2:$E35&lt;&gt;"")*(DATASET!$G$2:$G35&lt;&gt;""))=0))&gt;0,DATASET!$E36,"")</f>
        <v/>
      </c>
      <c r="T36" t="str">
        <f t="shared" si="26"/>
        <v/>
      </c>
      <c r="U36" t="str">
        <f>IF(((((DATASET!$C36='2 · Sidebar Studio'!$B$7)+('2 · Sidebar Studio'!$B$7=""))*((DATASET!$D36='2 · Sidebar Studio'!$B$9)+('2 · Sidebar Studio'!$B$9=""))*((DATASET!$E36='2 · Sidebar Studio'!$B$11)+('2 · Sidebar Studio'!$B$11=""))*(DATASET!$F36&lt;&gt;"")*(DATASET!$G36&lt;&gt;""))*(SUMPRODUCT((DATASET!$F$2:$F35=DATASET!$F36)*((DATASET!$C$2:$C35='2 · Sidebar Studio'!$B$7)+('2 · Sidebar Studio'!$B$7=""))*((DATASET!$D$2:$D35='2 · Sidebar Studio'!$B$9)+('2 · Sidebar Studio'!$B$9=""))*((DATASET!$E$2:$E35='2 · Sidebar Studio'!$B$11)+('2 · Sidebar Studio'!$B$11=""))*(DATASET!$F$2:$F35&lt;&gt;"")*(DATASET!$G$2:$G35&lt;&gt;""))=0))&gt;0,DATASET!$F36,"")</f>
        <v/>
      </c>
      <c r="V36" t="str">
        <f t="shared" si="27"/>
        <v/>
      </c>
      <c r="Y36">
        <f>IF((((DATASET!$C36='3 · KPI Cards'!$B$9)+('3 · KPI Cards'!$B$9=""))*((DATASET!$D36='3 · KPI Cards'!$D$9)+('3 · KPI Cards'!$D$9=""))*((DATASET!$E36='3 · KPI Cards'!$F$9)+('3 · KPI Cards'!$F$9=""))*((DATASET!$F36='3 · KPI Cards'!$H$9)+('3 · KPI Cards'!$H$9=""))*(DATASET!$G36&lt;&gt;""))&gt;0,1,0)</f>
        <v>1</v>
      </c>
      <c r="Z36">
        <f t="shared" si="28"/>
        <v>30</v>
      </c>
      <c r="AA36" s="103">
        <f>IF(Y36=1,DATASET!$I36,"")</f>
        <v>3412465.7799999998</v>
      </c>
      <c r="AB36" t="str">
        <f>IF(((((DATASET!$C36='3 · KPI Cards'!$B$9)+('3 · KPI Cards'!$B$9=""))*(DATASET!$D36&lt;&gt;"")*(DATASET!$G36&lt;&gt;""))*(SUMPRODUCT((DATASET!$D$2:$D35=DATASET!$D36)*((DATASET!$C$2:$C35='3 · KPI Cards'!$B$9)+('3 · KPI Cards'!$B$9=""))*(DATASET!$D$2:$D35&lt;&gt;"")*(DATASET!$G$2:$G35&lt;&gt;""))=0))&gt;0,DATASET!$D36,"")</f>
        <v xml:space="preserve">A.VIII) Utili (perdite) portati a nuovo</v>
      </c>
      <c r="AC36">
        <f t="shared" si="29"/>
        <v>13</v>
      </c>
      <c r="AD36" t="str">
        <f>IF(((((DATASET!$C36='3 · KPI Cards'!$B$9)+('3 · KPI Cards'!$B$9=""))*((DATASET!$D36='3 · KPI Cards'!$D$9)+('3 · KPI Cards'!$D$9=""))*(DATASET!$E36&lt;&gt;"")*(DATASET!$G36&lt;&gt;""))*(SUMPRODUCT((DATASET!$E$2:$E35=DATASET!$E36)*((DATASET!$C$2:$C35='3 · KPI Cards'!$B$9)+('3 · KPI Cards'!$B$9=""))*((DATASET!$D$2:$D35='3 · KPI Cards'!$D$9)+('3 · KPI Cards'!$D$9=""))*(DATASET!$E$2:$E35&lt;&gt;"")*(DATASET!$G$2:$G35&lt;&gt;""))=0))&gt;0,DATASET!$E36,"")</f>
        <v/>
      </c>
      <c r="AE36" t="str">
        <f t="shared" si="30"/>
        <v/>
      </c>
      <c r="AF36" t="str">
        <f>IF(((((DATASET!$C36='3 · KPI Cards'!$B$9)+('3 · KPI Cards'!$B$9=""))*((DATASET!$D36='3 · KPI Cards'!$D$9)+('3 · KPI Cards'!$D$9=""))*((DATASET!$E36='3 · KPI Cards'!$F$9)+('3 · KPI Cards'!$F$9=""))*(DATASET!$F36&lt;&gt;"")*(DATASET!$G36&lt;&gt;""))*(SUMPRODUCT((DATASET!$F$2:$F35=DATASET!$F36)*((DATASET!$C$2:$C35='3 · KPI Cards'!$B$9)+('3 · KPI Cards'!$B$9=""))*((DATASET!$D$2:$D35='3 · KPI Cards'!$D$9)+('3 · KPI Cards'!$D$9=""))*((DATASET!$E$2:$E35='3 · KPI Cards'!$F$9)+('3 · KPI Cards'!$F$9=""))*(DATASET!$F$2:$F35&lt;&gt;"")*(DATASET!$G$2:$G35&lt;&gt;""))=0))&gt;0,DATASET!$F36,"")</f>
        <v/>
      </c>
      <c r="AG36" t="str">
        <f t="shared" si="31"/>
        <v/>
      </c>
      <c r="AJ36">
        <f>IF((((DATASET!$C36='4 · Board Report'!$D$5)+('4 · Board Report'!$D$5=""))*((DATASET!$D36='4 · Board Report'!$D$6)+('4 · Board Report'!$D$6=""))*((DATASET!$E36='4 · Board Report'!$D$7)+('4 · Board Report'!$D$7=""))*((DATASET!$F36='4 · Board Report'!$D$8)+('4 · Board Report'!$D$8=""))*(DATASET!$G36&lt;&gt;""))&gt;0,1,0)</f>
        <v>0</v>
      </c>
      <c r="AK36" t="str">
        <f t="shared" si="32"/>
        <v/>
      </c>
      <c r="AL36" s="103" t="str">
        <f>IF(AJ36=1,DATASET!$I36,"")</f>
        <v/>
      </c>
      <c r="AM36" t="str">
        <f>IF(((((DATASET!$C36='4 · Board Report'!$D$5)+('4 · Board Report'!$D$5=""))*(DATASET!$D36&lt;&gt;"")*(DATASET!$G36&lt;&gt;""))*(SUMPRODUCT((DATASET!$D$2:$D35=DATASET!$D36)*((DATASET!$C$2:$C35='4 · Board Report'!$D$5)+('4 · Board Report'!$D$5=""))*(DATASET!$D$2:$D35&lt;&gt;"")*(DATASET!$G$2:$G35&lt;&gt;""))=0))&gt;0,DATASET!$D36,"")</f>
        <v/>
      </c>
      <c r="AN36" t="str">
        <f t="shared" si="33"/>
        <v/>
      </c>
      <c r="AO36" t="str">
        <f>IF(((((DATASET!$C36='4 · Board Report'!$D$5)+('4 · Board Report'!$D$5=""))*((DATASET!$D36='4 · Board Report'!$D$6)+('4 · Board Report'!$D$6=""))*(DATASET!$E36&lt;&gt;"")*(DATASET!$G36&lt;&gt;""))*(SUMPRODUCT((DATASET!$E$2:$E35=DATASET!$E36)*((DATASET!$C$2:$C35='4 · Board Report'!$D$5)+('4 · Board Report'!$D$5=""))*((DATASET!$D$2:$D35='4 · Board Report'!$D$6)+('4 · Board Report'!$D$6=""))*(DATASET!$E$2:$E35&lt;&gt;"")*(DATASET!$G$2:$G35&lt;&gt;""))=0))&gt;0,DATASET!$E36,"")</f>
        <v/>
      </c>
      <c r="AP36" t="str">
        <f t="shared" si="34"/>
        <v/>
      </c>
      <c r="AQ36" t="str">
        <f>IF(((((DATASET!$C36='4 · Board Report'!$D$5)+('4 · Board Report'!$D$5=""))*((DATASET!$D36='4 · Board Report'!$D$6)+('4 · Board Report'!$D$6=""))*((DATASET!$E36='4 · Board Report'!$D$7)+('4 · Board Report'!$D$7=""))*(DATASET!$F36&lt;&gt;"")*(DATASET!$G36&lt;&gt;""))*(SUMPRODUCT((DATASET!$F$2:$F35=DATASET!$F36)*((DATASET!$C$2:$C35='4 · Board Report'!$D$5)+('4 · Board Report'!$D$5=""))*((DATASET!$D$2:$D35='4 · Board Report'!$D$6)+('4 · Board Report'!$D$6=""))*((DATASET!$E$2:$E35='4 · Board Report'!$D$7)+('4 · Board Report'!$D$7=""))*(DATASET!$F$2:$F35&lt;&gt;"")*(DATASET!$G$2:$G35&lt;&gt;""))=0))&gt;0,DATASET!$F36,"")</f>
        <v/>
      </c>
      <c r="AR36" t="str">
        <f t="shared" si="35"/>
        <v/>
      </c>
      <c r="AU36">
        <f>IF((((DATASET!$C36='5 · Modern Console'!$B$4)+('5 · Modern Console'!$B$4=""))*((DATASET!$D36='5 · Modern Console'!$D$4)+('5 · Modern Console'!$D$4=""))*((DATASET!$E36='5 · Modern Console'!$F$4)+('5 · Modern Console'!$F$4=""))*((DATASET!$F36='5 · Modern Console'!$H$4)+('5 · Modern Console'!$H$4=""))*(DATASET!$G36&lt;&gt;""))&gt;0,1,0)</f>
        <v>1</v>
      </c>
      <c r="AV36">
        <f t="shared" si="36"/>
        <v>30</v>
      </c>
      <c r="AW36" s="103">
        <f>IF(AU36=1,DATASET!$I36,"")</f>
        <v>3412465.7799999998</v>
      </c>
      <c r="AX36" t="str">
        <f>IF(((((DATASET!$C36='5 · Modern Console'!$B$4)+('5 · Modern Console'!$B$4=""))*(DATASET!$D36&lt;&gt;"")*(DATASET!$G36&lt;&gt;""))*(SUMPRODUCT((DATASET!$D$2:$D35=DATASET!$D36)*((DATASET!$C$2:$C35='5 · Modern Console'!$B$4)+('5 · Modern Console'!$B$4=""))*(DATASET!$D$2:$D35&lt;&gt;"")*(DATASET!$G$2:$G35&lt;&gt;""))=0))&gt;0,DATASET!$D36,"")</f>
        <v xml:space="preserve">A.VIII) Utili (perdite) portati a nuovo</v>
      </c>
      <c r="AY36">
        <f t="shared" si="37"/>
        <v>13</v>
      </c>
      <c r="AZ36" t="str">
        <f>IF(((((DATASET!$C36='5 · Modern Console'!$B$4)+('5 · Modern Console'!$B$4=""))*((DATASET!$D36='5 · Modern Console'!$D$4)+('5 · Modern Console'!$D$4=""))*(DATASET!$E36&lt;&gt;"")*(DATASET!$G36&lt;&gt;""))*(SUMPRODUCT((DATASET!$E$2:$E35=DATASET!$E36)*((DATASET!$C$2:$C35='5 · Modern Console'!$B$4)+('5 · Modern Console'!$B$4=""))*((DATASET!$D$2:$D35='5 · Modern Console'!$D$4)+('5 · Modern Console'!$D$4=""))*(DATASET!$E$2:$E35&lt;&gt;"")*(DATASET!$G$2:$G35&lt;&gt;""))=0))&gt;0,DATASET!$E36,"")</f>
        <v/>
      </c>
      <c r="BA36" t="str">
        <f t="shared" si="38"/>
        <v/>
      </c>
      <c r="BB36" t="str">
        <f>IF(((((DATASET!$C36='5 · Modern Console'!$B$4)+('5 · Modern Console'!$B$4=""))*((DATASET!$D36='5 · Modern Console'!$D$4)+('5 · Modern Console'!$D$4=""))*((DATASET!$E36='5 · Modern Console'!$F$4)+('5 · Modern Console'!$F$4=""))*(DATASET!$F36&lt;&gt;"")*(DATASET!$G36&lt;&gt;""))*(SUMPRODUCT((DATASET!$F$2:$F35=DATASET!$F36)*((DATASET!$C$2:$C35='5 · Modern Console'!$B$4)+('5 · Modern Console'!$B$4=""))*((DATASET!$D$2:$D35='5 · Modern Console'!$D$4)+('5 · Modern Console'!$D$4=""))*((DATASET!$E$2:$E35='5 · Modern Console'!$F$4)+('5 · Modern Console'!$F$4=""))*(DATASET!$F$2:$F35&lt;&gt;"")*(DATASET!$G$2:$G35&lt;&gt;""))=0))&gt;0,DATASET!$F36,"")</f>
        <v/>
      </c>
      <c r="BC36" t="str">
        <f t="shared" si="39"/>
        <v/>
      </c>
    </row>
    <row r="37" ht="15" customHeight="1">
      <c r="C37">
        <f>IF((((DATASET!$C37='1 · Executive View'!$B$6)+('1 · Executive View'!$B$6=""))*((DATASET!$D37='1 · Executive View'!$D$6)+('1 · Executive View'!$D$6=""))*((DATASET!$E37='1 · Executive View'!$F$6)+('1 · Executive View'!$F$6=""))*((DATASET!$F37='1 · Executive View'!$H$6)+('1 · Executive View'!$H$6=""))*(DATASET!$G37&lt;&gt;""))&gt;0,1,0)</f>
        <v>0</v>
      </c>
      <c r="D37" t="str">
        <f t="shared" si="20"/>
        <v/>
      </c>
      <c r="E37" s="103" t="str">
        <f>IF(C37=1,DATASET!$I37,"")</f>
        <v/>
      </c>
      <c r="F37" t="str">
        <f>IF(((((DATASET!$C37='1 · Executive View'!$B$6)+('1 · Executive View'!$B$6=""))*(DATASET!$D37&lt;&gt;"")*(DATASET!$G37&lt;&gt;""))*(SUMPRODUCT((DATASET!$D$2:$D36=DATASET!$D37)*((DATASET!$C$2:$C36='1 · Executive View'!$B$6)+('1 · Executive View'!$B$6=""))*(DATASET!$D$2:$D36&lt;&gt;"")*(DATASET!$G$2:$G36&lt;&gt;""))=0))&gt;0,DATASET!$D37,"")</f>
        <v/>
      </c>
      <c r="G37" t="str">
        <f t="shared" si="21"/>
        <v/>
      </c>
      <c r="H37" t="str">
        <f>IF(((((DATASET!$C37='1 · Executive View'!$B$6)+('1 · Executive View'!$B$6=""))*((DATASET!$D37='1 · Executive View'!$D$6)+('1 · Executive View'!$D$6=""))*(DATASET!$E37&lt;&gt;"")*(DATASET!$G37&lt;&gt;""))*(SUMPRODUCT((DATASET!$E$2:$E36=DATASET!$E37)*((DATASET!$C$2:$C36='1 · Executive View'!$B$6)+('1 · Executive View'!$B$6=""))*((DATASET!$D$2:$D36='1 · Executive View'!$D$6)+('1 · Executive View'!$D$6=""))*(DATASET!$E$2:$E36&lt;&gt;"")*(DATASET!$G$2:$G36&lt;&gt;""))=0))&gt;0,DATASET!$E37,"")</f>
        <v/>
      </c>
      <c r="I37" t="str">
        <f t="shared" si="22"/>
        <v/>
      </c>
      <c r="J37" t="str">
        <f>IF(((((DATASET!$C37='1 · Executive View'!$B$6)+('1 · Executive View'!$B$6=""))*((DATASET!$D37='1 · Executive View'!$D$6)+('1 · Executive View'!$D$6=""))*((DATASET!$E37='1 · Executive View'!$F$6)+('1 · Executive View'!$F$6=""))*(DATASET!$F37&lt;&gt;"")*(DATASET!$G37&lt;&gt;""))*(SUMPRODUCT((DATASET!$F$2:$F36=DATASET!$F37)*((DATASET!$C$2:$C36='1 · Executive View'!$B$6)+('1 · Executive View'!$B$6=""))*((DATASET!$D$2:$D36='1 · Executive View'!$D$6)+('1 · Executive View'!$D$6=""))*((DATASET!$E$2:$E36='1 · Executive View'!$F$6)+('1 · Executive View'!$F$6=""))*(DATASET!$F$2:$F36&lt;&gt;"")*(DATASET!$G$2:$G36&lt;&gt;""))=0))&gt;0,DATASET!$F37,"")</f>
        <v/>
      </c>
      <c r="K37" t="str">
        <f t="shared" si="23"/>
        <v/>
      </c>
      <c r="N37">
        <f>IF((((DATASET!$C37='2 · Sidebar Studio'!$B$7)+('2 · Sidebar Studio'!$B$7=""))*((DATASET!$D37='2 · Sidebar Studio'!$B$9)+('2 · Sidebar Studio'!$B$9=""))*((DATASET!$E37='2 · Sidebar Studio'!$B$11)+('2 · Sidebar Studio'!$B$11=""))*((DATASET!$F37='2 · Sidebar Studio'!$B$13)+('2 · Sidebar Studio'!$B$13=""))*(DATASET!$G37&lt;&gt;""))&gt;0,1,0)</f>
        <v>1</v>
      </c>
      <c r="O37">
        <f t="shared" si="24"/>
        <v>31</v>
      </c>
      <c r="P37" s="103">
        <f>IF(N37=1,DATASET!$I37,"")</f>
        <v>-301974.53999999998</v>
      </c>
      <c r="Q37" t="str">
        <f>IF(((((DATASET!$C37='2 · Sidebar Studio'!$B$7)+('2 · Sidebar Studio'!$B$7=""))*(DATASET!$D37&lt;&gt;"")*(DATASET!$G37&lt;&gt;""))*(SUMPRODUCT((DATASET!$D$2:$D36=DATASET!$D37)*((DATASET!$C$2:$C36='2 · Sidebar Studio'!$B$7)+('2 · Sidebar Studio'!$B$7=""))*(DATASET!$D$2:$D36&lt;&gt;"")*(DATASET!$G$2:$G36&lt;&gt;""))=0))&gt;0,DATASET!$D37,"")</f>
        <v/>
      </c>
      <c r="R37" t="str">
        <f t="shared" si="25"/>
        <v/>
      </c>
      <c r="S37" t="str">
        <f>IF(((((DATASET!$C37='2 · Sidebar Studio'!$B$7)+('2 · Sidebar Studio'!$B$7=""))*((DATASET!$D37='2 · Sidebar Studio'!$B$9)+('2 · Sidebar Studio'!$B$9=""))*(DATASET!$E37&lt;&gt;"")*(DATASET!$G37&lt;&gt;""))*(SUMPRODUCT((DATASET!$E$2:$E36=DATASET!$E37)*((DATASET!$C$2:$C36='2 · Sidebar Studio'!$B$7)+('2 · Sidebar Studio'!$B$7=""))*((DATASET!$D$2:$D36='2 · Sidebar Studio'!$B$9)+('2 · Sidebar Studio'!$B$9=""))*(DATASET!$E$2:$E36&lt;&gt;"")*(DATASET!$G$2:$G36&lt;&gt;""))=0))&gt;0,DATASET!$E37,"")</f>
        <v/>
      </c>
      <c r="T37" t="str">
        <f t="shared" si="26"/>
        <v/>
      </c>
      <c r="U37" t="str">
        <f>IF(((((DATASET!$C37='2 · Sidebar Studio'!$B$7)+('2 · Sidebar Studio'!$B$7=""))*((DATASET!$D37='2 · Sidebar Studio'!$B$9)+('2 · Sidebar Studio'!$B$9=""))*((DATASET!$E37='2 · Sidebar Studio'!$B$11)+('2 · Sidebar Studio'!$B$11=""))*(DATASET!$F37&lt;&gt;"")*(DATASET!$G37&lt;&gt;""))*(SUMPRODUCT((DATASET!$F$2:$F36=DATASET!$F37)*((DATASET!$C$2:$C36='2 · Sidebar Studio'!$B$7)+('2 · Sidebar Studio'!$B$7=""))*((DATASET!$D$2:$D36='2 · Sidebar Studio'!$B$9)+('2 · Sidebar Studio'!$B$9=""))*((DATASET!$E$2:$E36='2 · Sidebar Studio'!$B$11)+('2 · Sidebar Studio'!$B$11=""))*(DATASET!$F$2:$F36&lt;&gt;"")*(DATASET!$G$2:$G36&lt;&gt;""))=0))&gt;0,DATASET!$F37,"")</f>
        <v/>
      </c>
      <c r="V37" t="str">
        <f t="shared" si="27"/>
        <v/>
      </c>
      <c r="Y37">
        <f>IF((((DATASET!$C37='3 · KPI Cards'!$B$9)+('3 · KPI Cards'!$B$9=""))*((DATASET!$D37='3 · KPI Cards'!$D$9)+('3 · KPI Cards'!$D$9=""))*((DATASET!$E37='3 · KPI Cards'!$F$9)+('3 · KPI Cards'!$F$9=""))*((DATASET!$F37='3 · KPI Cards'!$H$9)+('3 · KPI Cards'!$H$9=""))*(DATASET!$G37&lt;&gt;""))&gt;0,1,0)</f>
        <v>1</v>
      </c>
      <c r="Z37">
        <f t="shared" si="28"/>
        <v>31</v>
      </c>
      <c r="AA37" s="103">
        <f>IF(Y37=1,DATASET!$I37,"")</f>
        <v>-301974.53999999998</v>
      </c>
      <c r="AB37" t="str">
        <f>IF(((((DATASET!$C37='3 · KPI Cards'!$B$9)+('3 · KPI Cards'!$B$9=""))*(DATASET!$D37&lt;&gt;"")*(DATASET!$G37&lt;&gt;""))*(SUMPRODUCT((DATASET!$D$2:$D36=DATASET!$D37)*((DATASET!$C$2:$C36='3 · KPI Cards'!$B$9)+('3 · KPI Cards'!$B$9=""))*(DATASET!$D$2:$D36&lt;&gt;"")*(DATASET!$G$2:$G36&lt;&gt;""))=0))&gt;0,DATASET!$D37,"")</f>
        <v/>
      </c>
      <c r="AC37" t="str">
        <f t="shared" si="29"/>
        <v/>
      </c>
      <c r="AD37" t="str">
        <f>IF(((((DATASET!$C37='3 · KPI Cards'!$B$9)+('3 · KPI Cards'!$B$9=""))*((DATASET!$D37='3 · KPI Cards'!$D$9)+('3 · KPI Cards'!$D$9=""))*(DATASET!$E37&lt;&gt;"")*(DATASET!$G37&lt;&gt;""))*(SUMPRODUCT((DATASET!$E$2:$E36=DATASET!$E37)*((DATASET!$C$2:$C36='3 · KPI Cards'!$B$9)+('3 · KPI Cards'!$B$9=""))*((DATASET!$D$2:$D36='3 · KPI Cards'!$D$9)+('3 · KPI Cards'!$D$9=""))*(DATASET!$E$2:$E36&lt;&gt;"")*(DATASET!$G$2:$G36&lt;&gt;""))=0))&gt;0,DATASET!$E37,"")</f>
        <v/>
      </c>
      <c r="AE37" t="str">
        <f t="shared" si="30"/>
        <v/>
      </c>
      <c r="AF37" t="str">
        <f>IF(((((DATASET!$C37='3 · KPI Cards'!$B$9)+('3 · KPI Cards'!$B$9=""))*((DATASET!$D37='3 · KPI Cards'!$D$9)+('3 · KPI Cards'!$D$9=""))*((DATASET!$E37='3 · KPI Cards'!$F$9)+('3 · KPI Cards'!$F$9=""))*(DATASET!$F37&lt;&gt;"")*(DATASET!$G37&lt;&gt;""))*(SUMPRODUCT((DATASET!$F$2:$F36=DATASET!$F37)*((DATASET!$C$2:$C36='3 · KPI Cards'!$B$9)+('3 · KPI Cards'!$B$9=""))*((DATASET!$D$2:$D36='3 · KPI Cards'!$D$9)+('3 · KPI Cards'!$D$9=""))*((DATASET!$E$2:$E36='3 · KPI Cards'!$F$9)+('3 · KPI Cards'!$F$9=""))*(DATASET!$F$2:$F36&lt;&gt;"")*(DATASET!$G$2:$G36&lt;&gt;""))=0))&gt;0,DATASET!$F37,"")</f>
        <v/>
      </c>
      <c r="AG37" t="str">
        <f t="shared" si="31"/>
        <v/>
      </c>
      <c r="AJ37">
        <f>IF((((DATASET!$C37='4 · Board Report'!$D$5)+('4 · Board Report'!$D$5=""))*((DATASET!$D37='4 · Board Report'!$D$6)+('4 · Board Report'!$D$6=""))*((DATASET!$E37='4 · Board Report'!$D$7)+('4 · Board Report'!$D$7=""))*((DATASET!$F37='4 · Board Report'!$D$8)+('4 · Board Report'!$D$8=""))*(DATASET!$G37&lt;&gt;""))&gt;0,1,0)</f>
        <v>0</v>
      </c>
      <c r="AK37" t="str">
        <f t="shared" si="32"/>
        <v/>
      </c>
      <c r="AL37" s="103" t="str">
        <f>IF(AJ37=1,DATASET!$I37,"")</f>
        <v/>
      </c>
      <c r="AM37" t="str">
        <f>IF(((((DATASET!$C37='4 · Board Report'!$D$5)+('4 · Board Report'!$D$5=""))*(DATASET!$D37&lt;&gt;"")*(DATASET!$G37&lt;&gt;""))*(SUMPRODUCT((DATASET!$D$2:$D36=DATASET!$D37)*((DATASET!$C$2:$C36='4 · Board Report'!$D$5)+('4 · Board Report'!$D$5=""))*(DATASET!$D$2:$D36&lt;&gt;"")*(DATASET!$G$2:$G36&lt;&gt;""))=0))&gt;0,DATASET!$D37,"")</f>
        <v/>
      </c>
      <c r="AN37" t="str">
        <f t="shared" si="33"/>
        <v/>
      </c>
      <c r="AO37" t="str">
        <f>IF(((((DATASET!$C37='4 · Board Report'!$D$5)+('4 · Board Report'!$D$5=""))*((DATASET!$D37='4 · Board Report'!$D$6)+('4 · Board Report'!$D$6=""))*(DATASET!$E37&lt;&gt;"")*(DATASET!$G37&lt;&gt;""))*(SUMPRODUCT((DATASET!$E$2:$E36=DATASET!$E37)*((DATASET!$C$2:$C36='4 · Board Report'!$D$5)+('4 · Board Report'!$D$5=""))*((DATASET!$D$2:$D36='4 · Board Report'!$D$6)+('4 · Board Report'!$D$6=""))*(DATASET!$E$2:$E36&lt;&gt;"")*(DATASET!$G$2:$G36&lt;&gt;""))=0))&gt;0,DATASET!$E37,"")</f>
        <v/>
      </c>
      <c r="AP37" t="str">
        <f t="shared" si="34"/>
        <v/>
      </c>
      <c r="AQ37" t="str">
        <f>IF(((((DATASET!$C37='4 · Board Report'!$D$5)+('4 · Board Report'!$D$5=""))*((DATASET!$D37='4 · Board Report'!$D$6)+('4 · Board Report'!$D$6=""))*((DATASET!$E37='4 · Board Report'!$D$7)+('4 · Board Report'!$D$7=""))*(DATASET!$F37&lt;&gt;"")*(DATASET!$G37&lt;&gt;""))*(SUMPRODUCT((DATASET!$F$2:$F36=DATASET!$F37)*((DATASET!$C$2:$C36='4 · Board Report'!$D$5)+('4 · Board Report'!$D$5=""))*((DATASET!$D$2:$D36='4 · Board Report'!$D$6)+('4 · Board Report'!$D$6=""))*((DATASET!$E$2:$E36='4 · Board Report'!$D$7)+('4 · Board Report'!$D$7=""))*(DATASET!$F$2:$F36&lt;&gt;"")*(DATASET!$G$2:$G36&lt;&gt;""))=0))&gt;0,DATASET!$F37,"")</f>
        <v/>
      </c>
      <c r="AR37" t="str">
        <f t="shared" si="35"/>
        <v/>
      </c>
      <c r="AU37">
        <f>IF((((DATASET!$C37='5 · Modern Console'!$B$4)+('5 · Modern Console'!$B$4=""))*((DATASET!$D37='5 · Modern Console'!$D$4)+('5 · Modern Console'!$D$4=""))*((DATASET!$E37='5 · Modern Console'!$F$4)+('5 · Modern Console'!$F$4=""))*((DATASET!$F37='5 · Modern Console'!$H$4)+('5 · Modern Console'!$H$4=""))*(DATASET!$G37&lt;&gt;""))&gt;0,1,0)</f>
        <v>1</v>
      </c>
      <c r="AV37">
        <f t="shared" si="36"/>
        <v>31</v>
      </c>
      <c r="AW37" s="103">
        <f>IF(AU37=1,DATASET!$I37,"")</f>
        <v>-301974.53999999998</v>
      </c>
      <c r="AX37" t="str">
        <f>IF(((((DATASET!$C37='5 · Modern Console'!$B$4)+('5 · Modern Console'!$B$4=""))*(DATASET!$D37&lt;&gt;"")*(DATASET!$G37&lt;&gt;""))*(SUMPRODUCT((DATASET!$D$2:$D36=DATASET!$D37)*((DATASET!$C$2:$C36='5 · Modern Console'!$B$4)+('5 · Modern Console'!$B$4=""))*(DATASET!$D$2:$D36&lt;&gt;"")*(DATASET!$G$2:$G36&lt;&gt;""))=0))&gt;0,DATASET!$D37,"")</f>
        <v/>
      </c>
      <c r="AY37" t="str">
        <f t="shared" si="37"/>
        <v/>
      </c>
      <c r="AZ37" t="str">
        <f>IF(((((DATASET!$C37='5 · Modern Console'!$B$4)+('5 · Modern Console'!$B$4=""))*((DATASET!$D37='5 · Modern Console'!$D$4)+('5 · Modern Console'!$D$4=""))*(DATASET!$E37&lt;&gt;"")*(DATASET!$G37&lt;&gt;""))*(SUMPRODUCT((DATASET!$E$2:$E36=DATASET!$E37)*((DATASET!$C$2:$C36='5 · Modern Console'!$B$4)+('5 · Modern Console'!$B$4=""))*((DATASET!$D$2:$D36='5 · Modern Console'!$D$4)+('5 · Modern Console'!$D$4=""))*(DATASET!$E$2:$E36&lt;&gt;"")*(DATASET!$G$2:$G36&lt;&gt;""))=0))&gt;0,DATASET!$E37,"")</f>
        <v/>
      </c>
      <c r="BA37" t="str">
        <f t="shared" si="38"/>
        <v/>
      </c>
      <c r="BB37" t="str">
        <f>IF(((((DATASET!$C37='5 · Modern Console'!$B$4)+('5 · Modern Console'!$B$4=""))*((DATASET!$D37='5 · Modern Console'!$D$4)+('5 · Modern Console'!$D$4=""))*((DATASET!$E37='5 · Modern Console'!$F$4)+('5 · Modern Console'!$F$4=""))*(DATASET!$F37&lt;&gt;"")*(DATASET!$G37&lt;&gt;""))*(SUMPRODUCT((DATASET!$F$2:$F36=DATASET!$F37)*((DATASET!$C$2:$C36='5 · Modern Console'!$B$4)+('5 · Modern Console'!$B$4=""))*((DATASET!$D$2:$D36='5 · Modern Console'!$D$4)+('5 · Modern Console'!$D$4=""))*((DATASET!$E$2:$E36='5 · Modern Console'!$F$4)+('5 · Modern Console'!$F$4=""))*(DATASET!$F$2:$F36&lt;&gt;"")*(DATASET!$G$2:$G36&lt;&gt;""))=0))&gt;0,DATASET!$F37,"")</f>
        <v/>
      </c>
      <c r="BC37" t="str">
        <f t="shared" si="39"/>
        <v/>
      </c>
    </row>
    <row r="38" ht="15" customHeight="1">
      <c r="C38">
        <f>IF((((DATASET!$C38='1 · Executive View'!$B$6)+('1 · Executive View'!$B$6=""))*((DATASET!$D38='1 · Executive View'!$D$6)+('1 · Executive View'!$D$6=""))*((DATASET!$E38='1 · Executive View'!$F$6)+('1 · Executive View'!$F$6=""))*((DATASET!$F38='1 · Executive View'!$H$6)+('1 · Executive View'!$H$6=""))*(DATASET!$G38&lt;&gt;""))&gt;0,1,0)</f>
        <v>0</v>
      </c>
      <c r="D38" t="str">
        <f t="shared" si="20"/>
        <v/>
      </c>
      <c r="E38" s="103" t="str">
        <f>IF(C38=1,DATASET!$I38,"")</f>
        <v/>
      </c>
      <c r="F38" t="str">
        <f>IF(((((DATASET!$C38='1 · Executive View'!$B$6)+('1 · Executive View'!$B$6=""))*(DATASET!$D38&lt;&gt;"")*(DATASET!$G38&lt;&gt;""))*(SUMPRODUCT((DATASET!$D$2:$D37=DATASET!$D38)*((DATASET!$C$2:$C37='1 · Executive View'!$B$6)+('1 · Executive View'!$B$6=""))*(DATASET!$D$2:$D37&lt;&gt;"")*(DATASET!$G$2:$G37&lt;&gt;""))=0))&gt;0,DATASET!$D38,"")</f>
        <v/>
      </c>
      <c r="G38" t="str">
        <f t="shared" si="21"/>
        <v/>
      </c>
      <c r="H38" t="str">
        <f>IF(((((DATASET!$C38='1 · Executive View'!$B$6)+('1 · Executive View'!$B$6=""))*((DATASET!$D38='1 · Executive View'!$D$6)+('1 · Executive View'!$D$6=""))*(DATASET!$E38&lt;&gt;"")*(DATASET!$G38&lt;&gt;""))*(SUMPRODUCT((DATASET!$E$2:$E37=DATASET!$E38)*((DATASET!$C$2:$C37='1 · Executive View'!$B$6)+('1 · Executive View'!$B$6=""))*((DATASET!$D$2:$D37='1 · Executive View'!$D$6)+('1 · Executive View'!$D$6=""))*(DATASET!$E$2:$E37&lt;&gt;"")*(DATASET!$G$2:$G37&lt;&gt;""))=0))&gt;0,DATASET!$E38,"")</f>
        <v/>
      </c>
      <c r="I38" t="str">
        <f t="shared" si="22"/>
        <v/>
      </c>
      <c r="J38" t="str">
        <f>IF(((((DATASET!$C38='1 · Executive View'!$B$6)+('1 · Executive View'!$B$6=""))*((DATASET!$D38='1 · Executive View'!$D$6)+('1 · Executive View'!$D$6=""))*((DATASET!$E38='1 · Executive View'!$F$6)+('1 · Executive View'!$F$6=""))*(DATASET!$F38&lt;&gt;"")*(DATASET!$G38&lt;&gt;""))*(SUMPRODUCT((DATASET!$F$2:$F37=DATASET!$F38)*((DATASET!$C$2:$C37='1 · Executive View'!$B$6)+('1 · Executive View'!$B$6=""))*((DATASET!$D$2:$D37='1 · Executive View'!$D$6)+('1 · Executive View'!$D$6=""))*((DATASET!$E$2:$E37='1 · Executive View'!$F$6)+('1 · Executive View'!$F$6=""))*(DATASET!$F$2:$F37&lt;&gt;"")*(DATASET!$G$2:$G37&lt;&gt;""))=0))&gt;0,DATASET!$F38,"")</f>
        <v/>
      </c>
      <c r="K38" t="str">
        <f t="shared" si="23"/>
        <v/>
      </c>
      <c r="N38">
        <f>IF((((DATASET!$C38='2 · Sidebar Studio'!$B$7)+('2 · Sidebar Studio'!$B$7=""))*((DATASET!$D38='2 · Sidebar Studio'!$B$9)+('2 · Sidebar Studio'!$B$9=""))*((DATASET!$E38='2 · Sidebar Studio'!$B$11)+('2 · Sidebar Studio'!$B$11=""))*((DATASET!$F38='2 · Sidebar Studio'!$B$13)+('2 · Sidebar Studio'!$B$13=""))*(DATASET!$G38&lt;&gt;""))&gt;0,1,0)</f>
        <v>1</v>
      </c>
      <c r="O38">
        <f t="shared" si="24"/>
        <v>32</v>
      </c>
      <c r="P38" s="103">
        <f>IF(N38=1,DATASET!$I38,"")</f>
        <v>13896</v>
      </c>
      <c r="Q38" t="str">
        <f>IF(((((DATASET!$C38='2 · Sidebar Studio'!$B$7)+('2 · Sidebar Studio'!$B$7=""))*(DATASET!$D38&lt;&gt;"")*(DATASET!$G38&lt;&gt;""))*(SUMPRODUCT((DATASET!$D$2:$D37=DATASET!$D38)*((DATASET!$C$2:$C37='2 · Sidebar Studio'!$B$7)+('2 · Sidebar Studio'!$B$7=""))*(DATASET!$D$2:$D37&lt;&gt;"")*(DATASET!$G$2:$G37&lt;&gt;""))=0))&gt;0,DATASET!$D38,"")</f>
        <v xml:space="preserve">2) Per imposte, anche differite</v>
      </c>
      <c r="R38">
        <f t="shared" si="25"/>
        <v>14</v>
      </c>
      <c r="S38" t="str">
        <f>IF(((((DATASET!$C38='2 · Sidebar Studio'!$B$7)+('2 · Sidebar Studio'!$B$7=""))*((DATASET!$D38='2 · Sidebar Studio'!$B$9)+('2 · Sidebar Studio'!$B$9=""))*(DATASET!$E38&lt;&gt;"")*(DATASET!$G38&lt;&gt;""))*(SUMPRODUCT((DATASET!$E$2:$E37=DATASET!$E38)*((DATASET!$C$2:$C37='2 · Sidebar Studio'!$B$7)+('2 · Sidebar Studio'!$B$7=""))*((DATASET!$D$2:$D37='2 · Sidebar Studio'!$B$9)+('2 · Sidebar Studio'!$B$9=""))*(DATASET!$E$2:$E37&lt;&gt;"")*(DATASET!$G$2:$G37&lt;&gt;""))=0))&gt;0,DATASET!$E38,"")</f>
        <v/>
      </c>
      <c r="T38" t="str">
        <f t="shared" si="26"/>
        <v/>
      </c>
      <c r="U38" t="str">
        <f>IF(((((DATASET!$C38='2 · Sidebar Studio'!$B$7)+('2 · Sidebar Studio'!$B$7=""))*((DATASET!$D38='2 · Sidebar Studio'!$B$9)+('2 · Sidebar Studio'!$B$9=""))*((DATASET!$E38='2 · Sidebar Studio'!$B$11)+('2 · Sidebar Studio'!$B$11=""))*(DATASET!$F38&lt;&gt;"")*(DATASET!$G38&lt;&gt;""))*(SUMPRODUCT((DATASET!$F$2:$F37=DATASET!$F38)*((DATASET!$C$2:$C37='2 · Sidebar Studio'!$B$7)+('2 · Sidebar Studio'!$B$7=""))*((DATASET!$D$2:$D37='2 · Sidebar Studio'!$B$9)+('2 · Sidebar Studio'!$B$9=""))*((DATASET!$E$2:$E37='2 · Sidebar Studio'!$B$11)+('2 · Sidebar Studio'!$B$11=""))*(DATASET!$F$2:$F37&lt;&gt;"")*(DATASET!$G$2:$G37&lt;&gt;""))=0))&gt;0,DATASET!$F38,"")</f>
        <v/>
      </c>
      <c r="V38" t="str">
        <f t="shared" si="27"/>
        <v/>
      </c>
      <c r="Y38">
        <f>IF((((DATASET!$C38='3 · KPI Cards'!$B$9)+('3 · KPI Cards'!$B$9=""))*((DATASET!$D38='3 · KPI Cards'!$D$9)+('3 · KPI Cards'!$D$9=""))*((DATASET!$E38='3 · KPI Cards'!$F$9)+('3 · KPI Cards'!$F$9=""))*((DATASET!$F38='3 · KPI Cards'!$H$9)+('3 · KPI Cards'!$H$9=""))*(DATASET!$G38&lt;&gt;""))&gt;0,1,0)</f>
        <v>1</v>
      </c>
      <c r="Z38">
        <f t="shared" si="28"/>
        <v>32</v>
      </c>
      <c r="AA38" s="103">
        <f>IF(Y38=1,DATASET!$I38,"")</f>
        <v>13896</v>
      </c>
      <c r="AB38" t="str">
        <f>IF(((((DATASET!$C38='3 · KPI Cards'!$B$9)+('3 · KPI Cards'!$B$9=""))*(DATASET!$D38&lt;&gt;"")*(DATASET!$G38&lt;&gt;""))*(SUMPRODUCT((DATASET!$D$2:$D37=DATASET!$D38)*((DATASET!$C$2:$C37='3 · KPI Cards'!$B$9)+('3 · KPI Cards'!$B$9=""))*(DATASET!$D$2:$D37&lt;&gt;"")*(DATASET!$G$2:$G37&lt;&gt;""))=0))&gt;0,DATASET!$D38,"")</f>
        <v xml:space="preserve">2) Per imposte, anche differite</v>
      </c>
      <c r="AC38">
        <f t="shared" si="29"/>
        <v>14</v>
      </c>
      <c r="AD38" t="str">
        <f>IF(((((DATASET!$C38='3 · KPI Cards'!$B$9)+('3 · KPI Cards'!$B$9=""))*((DATASET!$D38='3 · KPI Cards'!$D$9)+('3 · KPI Cards'!$D$9=""))*(DATASET!$E38&lt;&gt;"")*(DATASET!$G38&lt;&gt;""))*(SUMPRODUCT((DATASET!$E$2:$E37=DATASET!$E38)*((DATASET!$C$2:$C37='3 · KPI Cards'!$B$9)+('3 · KPI Cards'!$B$9=""))*((DATASET!$D$2:$D37='3 · KPI Cards'!$D$9)+('3 · KPI Cards'!$D$9=""))*(DATASET!$E$2:$E37&lt;&gt;"")*(DATASET!$G$2:$G37&lt;&gt;""))=0))&gt;0,DATASET!$E38,"")</f>
        <v/>
      </c>
      <c r="AE38" t="str">
        <f t="shared" si="30"/>
        <v/>
      </c>
      <c r="AF38" t="str">
        <f>IF(((((DATASET!$C38='3 · KPI Cards'!$B$9)+('3 · KPI Cards'!$B$9=""))*((DATASET!$D38='3 · KPI Cards'!$D$9)+('3 · KPI Cards'!$D$9=""))*((DATASET!$E38='3 · KPI Cards'!$F$9)+('3 · KPI Cards'!$F$9=""))*(DATASET!$F38&lt;&gt;"")*(DATASET!$G38&lt;&gt;""))*(SUMPRODUCT((DATASET!$F$2:$F37=DATASET!$F38)*((DATASET!$C$2:$C37='3 · KPI Cards'!$B$9)+('3 · KPI Cards'!$B$9=""))*((DATASET!$D$2:$D37='3 · KPI Cards'!$D$9)+('3 · KPI Cards'!$D$9=""))*((DATASET!$E$2:$E37='3 · KPI Cards'!$F$9)+('3 · KPI Cards'!$F$9=""))*(DATASET!$F$2:$F37&lt;&gt;"")*(DATASET!$G$2:$G37&lt;&gt;""))=0))&gt;0,DATASET!$F38,"")</f>
        <v/>
      </c>
      <c r="AG38" t="str">
        <f t="shared" si="31"/>
        <v/>
      </c>
      <c r="AJ38">
        <f>IF((((DATASET!$C38='4 · Board Report'!$D$5)+('4 · Board Report'!$D$5=""))*((DATASET!$D38='4 · Board Report'!$D$6)+('4 · Board Report'!$D$6=""))*((DATASET!$E38='4 · Board Report'!$D$7)+('4 · Board Report'!$D$7=""))*((DATASET!$F38='4 · Board Report'!$D$8)+('4 · Board Report'!$D$8=""))*(DATASET!$G38&lt;&gt;""))&gt;0,1,0)</f>
        <v>0</v>
      </c>
      <c r="AK38" t="str">
        <f t="shared" si="32"/>
        <v/>
      </c>
      <c r="AL38" s="103" t="str">
        <f>IF(AJ38=1,DATASET!$I38,"")</f>
        <v/>
      </c>
      <c r="AM38" t="str">
        <f>IF(((((DATASET!$C38='4 · Board Report'!$D$5)+('4 · Board Report'!$D$5=""))*(DATASET!$D38&lt;&gt;"")*(DATASET!$G38&lt;&gt;""))*(SUMPRODUCT((DATASET!$D$2:$D37=DATASET!$D38)*((DATASET!$C$2:$C37='4 · Board Report'!$D$5)+('4 · Board Report'!$D$5=""))*(DATASET!$D$2:$D37&lt;&gt;"")*(DATASET!$G$2:$G37&lt;&gt;""))=0))&gt;0,DATASET!$D38,"")</f>
        <v/>
      </c>
      <c r="AN38" t="str">
        <f t="shared" si="33"/>
        <v/>
      </c>
      <c r="AO38" t="str">
        <f>IF(((((DATASET!$C38='4 · Board Report'!$D$5)+('4 · Board Report'!$D$5=""))*((DATASET!$D38='4 · Board Report'!$D$6)+('4 · Board Report'!$D$6=""))*(DATASET!$E38&lt;&gt;"")*(DATASET!$G38&lt;&gt;""))*(SUMPRODUCT((DATASET!$E$2:$E37=DATASET!$E38)*((DATASET!$C$2:$C37='4 · Board Report'!$D$5)+('4 · Board Report'!$D$5=""))*((DATASET!$D$2:$D37='4 · Board Report'!$D$6)+('4 · Board Report'!$D$6=""))*(DATASET!$E$2:$E37&lt;&gt;"")*(DATASET!$G$2:$G37&lt;&gt;""))=0))&gt;0,DATASET!$E38,"")</f>
        <v/>
      </c>
      <c r="AP38" t="str">
        <f t="shared" si="34"/>
        <v/>
      </c>
      <c r="AQ38" t="str">
        <f>IF(((((DATASET!$C38='4 · Board Report'!$D$5)+('4 · Board Report'!$D$5=""))*((DATASET!$D38='4 · Board Report'!$D$6)+('4 · Board Report'!$D$6=""))*((DATASET!$E38='4 · Board Report'!$D$7)+('4 · Board Report'!$D$7=""))*(DATASET!$F38&lt;&gt;"")*(DATASET!$G38&lt;&gt;""))*(SUMPRODUCT((DATASET!$F$2:$F37=DATASET!$F38)*((DATASET!$C$2:$C37='4 · Board Report'!$D$5)+('4 · Board Report'!$D$5=""))*((DATASET!$D$2:$D37='4 · Board Report'!$D$6)+('4 · Board Report'!$D$6=""))*((DATASET!$E$2:$E37='4 · Board Report'!$D$7)+('4 · Board Report'!$D$7=""))*(DATASET!$F$2:$F37&lt;&gt;"")*(DATASET!$G$2:$G37&lt;&gt;""))=0))&gt;0,DATASET!$F38,"")</f>
        <v/>
      </c>
      <c r="AR38" t="str">
        <f t="shared" si="35"/>
        <v/>
      </c>
      <c r="AU38">
        <f>IF((((DATASET!$C38='5 · Modern Console'!$B$4)+('5 · Modern Console'!$B$4=""))*((DATASET!$D38='5 · Modern Console'!$D$4)+('5 · Modern Console'!$D$4=""))*((DATASET!$E38='5 · Modern Console'!$F$4)+('5 · Modern Console'!$F$4=""))*((DATASET!$F38='5 · Modern Console'!$H$4)+('5 · Modern Console'!$H$4=""))*(DATASET!$G38&lt;&gt;""))&gt;0,1,0)</f>
        <v>1</v>
      </c>
      <c r="AV38">
        <f t="shared" si="36"/>
        <v>32</v>
      </c>
      <c r="AW38" s="103">
        <f>IF(AU38=1,DATASET!$I38,"")</f>
        <v>13896</v>
      </c>
      <c r="AX38" t="str">
        <f>IF(((((DATASET!$C38='5 · Modern Console'!$B$4)+('5 · Modern Console'!$B$4=""))*(DATASET!$D38&lt;&gt;"")*(DATASET!$G38&lt;&gt;""))*(SUMPRODUCT((DATASET!$D$2:$D37=DATASET!$D38)*((DATASET!$C$2:$C37='5 · Modern Console'!$B$4)+('5 · Modern Console'!$B$4=""))*(DATASET!$D$2:$D37&lt;&gt;"")*(DATASET!$G$2:$G37&lt;&gt;""))=0))&gt;0,DATASET!$D38,"")</f>
        <v xml:space="preserve">2) Per imposte, anche differite</v>
      </c>
      <c r="AY38">
        <f t="shared" si="37"/>
        <v>14</v>
      </c>
      <c r="AZ38" t="str">
        <f>IF(((((DATASET!$C38='5 · Modern Console'!$B$4)+('5 · Modern Console'!$B$4=""))*((DATASET!$D38='5 · Modern Console'!$D$4)+('5 · Modern Console'!$D$4=""))*(DATASET!$E38&lt;&gt;"")*(DATASET!$G38&lt;&gt;""))*(SUMPRODUCT((DATASET!$E$2:$E37=DATASET!$E38)*((DATASET!$C$2:$C37='5 · Modern Console'!$B$4)+('5 · Modern Console'!$B$4=""))*((DATASET!$D$2:$D37='5 · Modern Console'!$D$4)+('5 · Modern Console'!$D$4=""))*(DATASET!$E$2:$E37&lt;&gt;"")*(DATASET!$G$2:$G37&lt;&gt;""))=0))&gt;0,DATASET!$E38,"")</f>
        <v/>
      </c>
      <c r="BA38" t="str">
        <f t="shared" si="38"/>
        <v/>
      </c>
      <c r="BB38" t="str">
        <f>IF(((((DATASET!$C38='5 · Modern Console'!$B$4)+('5 · Modern Console'!$B$4=""))*((DATASET!$D38='5 · Modern Console'!$D$4)+('5 · Modern Console'!$D$4=""))*((DATASET!$E38='5 · Modern Console'!$F$4)+('5 · Modern Console'!$F$4=""))*(DATASET!$F38&lt;&gt;"")*(DATASET!$G38&lt;&gt;""))*(SUMPRODUCT((DATASET!$F$2:$F37=DATASET!$F38)*((DATASET!$C$2:$C37='5 · Modern Console'!$B$4)+('5 · Modern Console'!$B$4=""))*((DATASET!$D$2:$D37='5 · Modern Console'!$D$4)+('5 · Modern Console'!$D$4=""))*((DATASET!$E$2:$E37='5 · Modern Console'!$F$4)+('5 · Modern Console'!$F$4=""))*(DATASET!$F$2:$F37&lt;&gt;"")*(DATASET!$G$2:$G37&lt;&gt;""))=0))&gt;0,DATASET!$F38,"")</f>
        <v/>
      </c>
      <c r="BC38" t="str">
        <f t="shared" si="39"/>
        <v/>
      </c>
    </row>
    <row r="39" ht="15" customHeight="1">
      <c r="C39">
        <f>IF((((DATASET!$C39='1 · Executive View'!$B$6)+('1 · Executive View'!$B$6=""))*((DATASET!$D39='1 · Executive View'!$D$6)+('1 · Executive View'!$D$6=""))*((DATASET!$E39='1 · Executive View'!$F$6)+('1 · Executive View'!$F$6=""))*((DATASET!$F39='1 · Executive View'!$H$6)+('1 · Executive View'!$H$6=""))*(DATASET!$G39&lt;&gt;""))&gt;0,1,0)</f>
        <v>0</v>
      </c>
      <c r="D39" t="str">
        <f t="shared" si="20"/>
        <v/>
      </c>
      <c r="E39" s="103" t="str">
        <f>IF(C39=1,DATASET!$I39,"")</f>
        <v/>
      </c>
      <c r="F39" t="str">
        <f>IF(((((DATASET!$C39='1 · Executive View'!$B$6)+('1 · Executive View'!$B$6=""))*(DATASET!$D39&lt;&gt;"")*(DATASET!$G39&lt;&gt;""))*(SUMPRODUCT((DATASET!$D$2:$D38=DATASET!$D39)*((DATASET!$C$2:$C38='1 · Executive View'!$B$6)+('1 · Executive View'!$B$6=""))*(DATASET!$D$2:$D38&lt;&gt;"")*(DATASET!$G$2:$G38&lt;&gt;""))=0))&gt;0,DATASET!$D39,"")</f>
        <v/>
      </c>
      <c r="G39" t="str">
        <f t="shared" si="21"/>
        <v/>
      </c>
      <c r="H39" t="str">
        <f>IF(((((DATASET!$C39='1 · Executive View'!$B$6)+('1 · Executive View'!$B$6=""))*((DATASET!$D39='1 · Executive View'!$D$6)+('1 · Executive View'!$D$6=""))*(DATASET!$E39&lt;&gt;"")*(DATASET!$G39&lt;&gt;""))*(SUMPRODUCT((DATASET!$E$2:$E38=DATASET!$E39)*((DATASET!$C$2:$C38='1 · Executive View'!$B$6)+('1 · Executive View'!$B$6=""))*((DATASET!$D$2:$D38='1 · Executive View'!$D$6)+('1 · Executive View'!$D$6=""))*(DATASET!$E$2:$E38&lt;&gt;"")*(DATASET!$G$2:$G38&lt;&gt;""))=0))&gt;0,DATASET!$E39,"")</f>
        <v/>
      </c>
      <c r="I39" t="str">
        <f t="shared" si="22"/>
        <v/>
      </c>
      <c r="J39" t="str">
        <f>IF(((((DATASET!$C39='1 · Executive View'!$B$6)+('1 · Executive View'!$B$6=""))*((DATASET!$D39='1 · Executive View'!$D$6)+('1 · Executive View'!$D$6=""))*((DATASET!$E39='1 · Executive View'!$F$6)+('1 · Executive View'!$F$6=""))*(DATASET!$F39&lt;&gt;"")*(DATASET!$G39&lt;&gt;""))*(SUMPRODUCT((DATASET!$F$2:$F38=DATASET!$F39)*((DATASET!$C$2:$C38='1 · Executive View'!$B$6)+('1 · Executive View'!$B$6=""))*((DATASET!$D$2:$D38='1 · Executive View'!$D$6)+('1 · Executive View'!$D$6=""))*((DATASET!$E$2:$E38='1 · Executive View'!$F$6)+('1 · Executive View'!$F$6=""))*(DATASET!$F$2:$F38&lt;&gt;"")*(DATASET!$G$2:$G38&lt;&gt;""))=0))&gt;0,DATASET!$F39,"")</f>
        <v/>
      </c>
      <c r="K39" t="str">
        <f t="shared" si="23"/>
        <v/>
      </c>
      <c r="N39">
        <f>IF((((DATASET!$C39='2 · Sidebar Studio'!$B$7)+('2 · Sidebar Studio'!$B$7=""))*((DATASET!$D39='2 · Sidebar Studio'!$B$9)+('2 · Sidebar Studio'!$B$9=""))*((DATASET!$E39='2 · Sidebar Studio'!$B$11)+('2 · Sidebar Studio'!$B$11=""))*((DATASET!$F39='2 · Sidebar Studio'!$B$13)+('2 · Sidebar Studio'!$B$13=""))*(DATASET!$G39&lt;&gt;""))&gt;0,1,0)</f>
        <v>1</v>
      </c>
      <c r="O39">
        <f t="shared" si="24"/>
        <v>33</v>
      </c>
      <c r="P39" s="103">
        <f>IF(N39=1,DATASET!$I39,"")</f>
        <v>1600000</v>
      </c>
      <c r="Q39" t="str">
        <f>IF(((((DATASET!$C39='2 · Sidebar Studio'!$B$7)+('2 · Sidebar Studio'!$B$7=""))*(DATASET!$D39&lt;&gt;"")*(DATASET!$G39&lt;&gt;""))*(SUMPRODUCT((DATASET!$D$2:$D38=DATASET!$D39)*((DATASET!$C$2:$C38='2 · Sidebar Studio'!$B$7)+('2 · Sidebar Studio'!$B$7=""))*(DATASET!$D$2:$D38&lt;&gt;"")*(DATASET!$G$2:$G38&lt;&gt;""))=0))&gt;0,DATASET!$D39,"")</f>
        <v xml:space="preserve">5) Debiti verso altri finanziatori</v>
      </c>
      <c r="R39">
        <f t="shared" si="25"/>
        <v>15</v>
      </c>
      <c r="S39" t="str">
        <f>IF(((((DATASET!$C39='2 · Sidebar Studio'!$B$7)+('2 · Sidebar Studio'!$B$7=""))*((DATASET!$D39='2 · Sidebar Studio'!$B$9)+('2 · Sidebar Studio'!$B$9=""))*(DATASET!$E39&lt;&gt;"")*(DATASET!$G39&lt;&gt;""))*(SUMPRODUCT((DATASET!$E$2:$E38=DATASET!$E39)*((DATASET!$C$2:$C38='2 · Sidebar Studio'!$B$7)+('2 · Sidebar Studio'!$B$7=""))*((DATASET!$D$2:$D38='2 · Sidebar Studio'!$B$9)+('2 · Sidebar Studio'!$B$9=""))*(DATASET!$E$2:$E38&lt;&gt;"")*(DATASET!$G$2:$G38&lt;&gt;""))=0))&gt;0,DATASET!$E39,"")</f>
        <v/>
      </c>
      <c r="T39" t="str">
        <f t="shared" si="26"/>
        <v/>
      </c>
      <c r="U39" t="str">
        <f>IF(((((DATASET!$C39='2 · Sidebar Studio'!$B$7)+('2 · Sidebar Studio'!$B$7=""))*((DATASET!$D39='2 · Sidebar Studio'!$B$9)+('2 · Sidebar Studio'!$B$9=""))*((DATASET!$E39='2 · Sidebar Studio'!$B$11)+('2 · Sidebar Studio'!$B$11=""))*(DATASET!$F39&lt;&gt;"")*(DATASET!$G39&lt;&gt;""))*(SUMPRODUCT((DATASET!$F$2:$F38=DATASET!$F39)*((DATASET!$C$2:$C38='2 · Sidebar Studio'!$B$7)+('2 · Sidebar Studio'!$B$7=""))*((DATASET!$D$2:$D38='2 · Sidebar Studio'!$B$9)+('2 · Sidebar Studio'!$B$9=""))*((DATASET!$E$2:$E38='2 · Sidebar Studio'!$B$11)+('2 · Sidebar Studio'!$B$11=""))*(DATASET!$F$2:$F38&lt;&gt;"")*(DATASET!$G$2:$G38&lt;&gt;""))=0))&gt;0,DATASET!$F39,"")</f>
        <v/>
      </c>
      <c r="V39" t="str">
        <f t="shared" si="27"/>
        <v/>
      </c>
      <c r="Y39">
        <f>IF((((DATASET!$C39='3 · KPI Cards'!$B$9)+('3 · KPI Cards'!$B$9=""))*((DATASET!$D39='3 · KPI Cards'!$D$9)+('3 · KPI Cards'!$D$9=""))*((DATASET!$E39='3 · KPI Cards'!$F$9)+('3 · KPI Cards'!$F$9=""))*((DATASET!$F39='3 · KPI Cards'!$H$9)+('3 · KPI Cards'!$H$9=""))*(DATASET!$G39&lt;&gt;""))&gt;0,1,0)</f>
        <v>1</v>
      </c>
      <c r="Z39">
        <f t="shared" si="28"/>
        <v>33</v>
      </c>
      <c r="AA39" s="103">
        <f>IF(Y39=1,DATASET!$I39,"")</f>
        <v>1600000</v>
      </c>
      <c r="AB39" t="str">
        <f>IF(((((DATASET!$C39='3 · KPI Cards'!$B$9)+('3 · KPI Cards'!$B$9=""))*(DATASET!$D39&lt;&gt;"")*(DATASET!$G39&lt;&gt;""))*(SUMPRODUCT((DATASET!$D$2:$D38=DATASET!$D39)*((DATASET!$C$2:$C38='3 · KPI Cards'!$B$9)+('3 · KPI Cards'!$B$9=""))*(DATASET!$D$2:$D38&lt;&gt;"")*(DATASET!$G$2:$G38&lt;&gt;""))=0))&gt;0,DATASET!$D39,"")</f>
        <v xml:space="preserve">5) Debiti verso altri finanziatori</v>
      </c>
      <c r="AC39">
        <f t="shared" si="29"/>
        <v>15</v>
      </c>
      <c r="AD39" t="str">
        <f>IF(((((DATASET!$C39='3 · KPI Cards'!$B$9)+('3 · KPI Cards'!$B$9=""))*((DATASET!$D39='3 · KPI Cards'!$D$9)+('3 · KPI Cards'!$D$9=""))*(DATASET!$E39&lt;&gt;"")*(DATASET!$G39&lt;&gt;""))*(SUMPRODUCT((DATASET!$E$2:$E38=DATASET!$E39)*((DATASET!$C$2:$C38='3 · KPI Cards'!$B$9)+('3 · KPI Cards'!$B$9=""))*((DATASET!$D$2:$D38='3 · KPI Cards'!$D$9)+('3 · KPI Cards'!$D$9=""))*(DATASET!$E$2:$E38&lt;&gt;"")*(DATASET!$G$2:$G38&lt;&gt;""))=0))&gt;0,DATASET!$E39,"")</f>
        <v/>
      </c>
      <c r="AE39" t="str">
        <f t="shared" si="30"/>
        <v/>
      </c>
      <c r="AF39" t="str">
        <f>IF(((((DATASET!$C39='3 · KPI Cards'!$B$9)+('3 · KPI Cards'!$B$9=""))*((DATASET!$D39='3 · KPI Cards'!$D$9)+('3 · KPI Cards'!$D$9=""))*((DATASET!$E39='3 · KPI Cards'!$F$9)+('3 · KPI Cards'!$F$9=""))*(DATASET!$F39&lt;&gt;"")*(DATASET!$G39&lt;&gt;""))*(SUMPRODUCT((DATASET!$F$2:$F38=DATASET!$F39)*((DATASET!$C$2:$C38='3 · KPI Cards'!$B$9)+('3 · KPI Cards'!$B$9=""))*((DATASET!$D$2:$D38='3 · KPI Cards'!$D$9)+('3 · KPI Cards'!$D$9=""))*((DATASET!$E$2:$E38='3 · KPI Cards'!$F$9)+('3 · KPI Cards'!$F$9=""))*(DATASET!$F$2:$F38&lt;&gt;"")*(DATASET!$G$2:$G38&lt;&gt;""))=0))&gt;0,DATASET!$F39,"")</f>
        <v/>
      </c>
      <c r="AG39" t="str">
        <f t="shared" si="31"/>
        <v/>
      </c>
      <c r="AJ39">
        <f>IF((((DATASET!$C39='4 · Board Report'!$D$5)+('4 · Board Report'!$D$5=""))*((DATASET!$D39='4 · Board Report'!$D$6)+('4 · Board Report'!$D$6=""))*((DATASET!$E39='4 · Board Report'!$D$7)+('4 · Board Report'!$D$7=""))*((DATASET!$F39='4 · Board Report'!$D$8)+('4 · Board Report'!$D$8=""))*(DATASET!$G39&lt;&gt;""))&gt;0,1,0)</f>
        <v>0</v>
      </c>
      <c r="AK39" t="str">
        <f t="shared" si="32"/>
        <v/>
      </c>
      <c r="AL39" s="103" t="str">
        <f>IF(AJ39=1,DATASET!$I39,"")</f>
        <v/>
      </c>
      <c r="AM39" t="str">
        <f>IF(((((DATASET!$C39='4 · Board Report'!$D$5)+('4 · Board Report'!$D$5=""))*(DATASET!$D39&lt;&gt;"")*(DATASET!$G39&lt;&gt;""))*(SUMPRODUCT((DATASET!$D$2:$D38=DATASET!$D39)*((DATASET!$C$2:$C38='4 · Board Report'!$D$5)+('4 · Board Report'!$D$5=""))*(DATASET!$D$2:$D38&lt;&gt;"")*(DATASET!$G$2:$G38&lt;&gt;""))=0))&gt;0,DATASET!$D39,"")</f>
        <v/>
      </c>
      <c r="AN39" t="str">
        <f t="shared" si="33"/>
        <v/>
      </c>
      <c r="AO39" t="str">
        <f>IF(((((DATASET!$C39='4 · Board Report'!$D$5)+('4 · Board Report'!$D$5=""))*((DATASET!$D39='4 · Board Report'!$D$6)+('4 · Board Report'!$D$6=""))*(DATASET!$E39&lt;&gt;"")*(DATASET!$G39&lt;&gt;""))*(SUMPRODUCT((DATASET!$E$2:$E38=DATASET!$E39)*((DATASET!$C$2:$C38='4 · Board Report'!$D$5)+('4 · Board Report'!$D$5=""))*((DATASET!$D$2:$D38='4 · Board Report'!$D$6)+('4 · Board Report'!$D$6=""))*(DATASET!$E$2:$E38&lt;&gt;"")*(DATASET!$G$2:$G38&lt;&gt;""))=0))&gt;0,DATASET!$E39,"")</f>
        <v/>
      </c>
      <c r="AP39" t="str">
        <f t="shared" si="34"/>
        <v/>
      </c>
      <c r="AQ39" t="str">
        <f>IF(((((DATASET!$C39='4 · Board Report'!$D$5)+('4 · Board Report'!$D$5=""))*((DATASET!$D39='4 · Board Report'!$D$6)+('4 · Board Report'!$D$6=""))*((DATASET!$E39='4 · Board Report'!$D$7)+('4 · Board Report'!$D$7=""))*(DATASET!$F39&lt;&gt;"")*(DATASET!$G39&lt;&gt;""))*(SUMPRODUCT((DATASET!$F$2:$F38=DATASET!$F39)*((DATASET!$C$2:$C38='4 · Board Report'!$D$5)+('4 · Board Report'!$D$5=""))*((DATASET!$D$2:$D38='4 · Board Report'!$D$6)+('4 · Board Report'!$D$6=""))*((DATASET!$E$2:$E38='4 · Board Report'!$D$7)+('4 · Board Report'!$D$7=""))*(DATASET!$F$2:$F38&lt;&gt;"")*(DATASET!$G$2:$G38&lt;&gt;""))=0))&gt;0,DATASET!$F39,"")</f>
        <v/>
      </c>
      <c r="AR39" t="str">
        <f t="shared" si="35"/>
        <v/>
      </c>
      <c r="AU39">
        <f>IF((((DATASET!$C39='5 · Modern Console'!$B$4)+('5 · Modern Console'!$B$4=""))*((DATASET!$D39='5 · Modern Console'!$D$4)+('5 · Modern Console'!$D$4=""))*((DATASET!$E39='5 · Modern Console'!$F$4)+('5 · Modern Console'!$F$4=""))*((DATASET!$F39='5 · Modern Console'!$H$4)+('5 · Modern Console'!$H$4=""))*(DATASET!$G39&lt;&gt;""))&gt;0,1,0)</f>
        <v>1</v>
      </c>
      <c r="AV39">
        <f t="shared" si="36"/>
        <v>33</v>
      </c>
      <c r="AW39" s="103">
        <f>IF(AU39=1,DATASET!$I39,"")</f>
        <v>1600000</v>
      </c>
      <c r="AX39" t="str">
        <f>IF(((((DATASET!$C39='5 · Modern Console'!$B$4)+('5 · Modern Console'!$B$4=""))*(DATASET!$D39&lt;&gt;"")*(DATASET!$G39&lt;&gt;""))*(SUMPRODUCT((DATASET!$D$2:$D38=DATASET!$D39)*((DATASET!$C$2:$C38='5 · Modern Console'!$B$4)+('5 · Modern Console'!$B$4=""))*(DATASET!$D$2:$D38&lt;&gt;"")*(DATASET!$G$2:$G38&lt;&gt;""))=0))&gt;0,DATASET!$D39,"")</f>
        <v xml:space="preserve">5) Debiti verso altri finanziatori</v>
      </c>
      <c r="AY39">
        <f t="shared" si="37"/>
        <v>15</v>
      </c>
      <c r="AZ39" t="str">
        <f>IF(((((DATASET!$C39='5 · Modern Console'!$B$4)+('5 · Modern Console'!$B$4=""))*((DATASET!$D39='5 · Modern Console'!$D$4)+('5 · Modern Console'!$D$4=""))*(DATASET!$E39&lt;&gt;"")*(DATASET!$G39&lt;&gt;""))*(SUMPRODUCT((DATASET!$E$2:$E38=DATASET!$E39)*((DATASET!$C$2:$C38='5 · Modern Console'!$B$4)+('5 · Modern Console'!$B$4=""))*((DATASET!$D$2:$D38='5 · Modern Console'!$D$4)+('5 · Modern Console'!$D$4=""))*(DATASET!$E$2:$E38&lt;&gt;"")*(DATASET!$G$2:$G38&lt;&gt;""))=0))&gt;0,DATASET!$E39,"")</f>
        <v/>
      </c>
      <c r="BA39" t="str">
        <f t="shared" si="38"/>
        <v/>
      </c>
      <c r="BB39" t="str">
        <f>IF(((((DATASET!$C39='5 · Modern Console'!$B$4)+('5 · Modern Console'!$B$4=""))*((DATASET!$D39='5 · Modern Console'!$D$4)+('5 · Modern Console'!$D$4=""))*((DATASET!$E39='5 · Modern Console'!$F$4)+('5 · Modern Console'!$F$4=""))*(DATASET!$F39&lt;&gt;"")*(DATASET!$G39&lt;&gt;""))*(SUMPRODUCT((DATASET!$F$2:$F38=DATASET!$F39)*((DATASET!$C$2:$C38='5 · Modern Console'!$B$4)+('5 · Modern Console'!$B$4=""))*((DATASET!$D$2:$D38='5 · Modern Console'!$D$4)+('5 · Modern Console'!$D$4=""))*((DATASET!$E$2:$E38='5 · Modern Console'!$F$4)+('5 · Modern Console'!$F$4=""))*(DATASET!$F$2:$F38&lt;&gt;"")*(DATASET!$G$2:$G38&lt;&gt;""))=0))&gt;0,DATASET!$F39,"")</f>
        <v/>
      </c>
      <c r="BC39" t="str">
        <f t="shared" si="39"/>
        <v/>
      </c>
    </row>
    <row r="40" ht="15" customHeight="1">
      <c r="C40">
        <f>IF((((DATASET!$C40='1 · Executive View'!$B$6)+('1 · Executive View'!$B$6=""))*((DATASET!$D40='1 · Executive View'!$D$6)+('1 · Executive View'!$D$6=""))*((DATASET!$E40='1 · Executive View'!$F$6)+('1 · Executive View'!$F$6=""))*((DATASET!$F40='1 · Executive View'!$H$6)+('1 · Executive View'!$H$6=""))*(DATASET!$G40&lt;&gt;""))&gt;0,1,0)</f>
        <v>0</v>
      </c>
      <c r="D40" t="str">
        <f t="shared" si="20"/>
        <v/>
      </c>
      <c r="E40" s="103" t="str">
        <f>IF(C40=1,DATASET!$I40,"")</f>
        <v/>
      </c>
      <c r="F40" t="str">
        <f>IF(((((DATASET!$C40='1 · Executive View'!$B$6)+('1 · Executive View'!$B$6=""))*(DATASET!$D40&lt;&gt;"")*(DATASET!$G40&lt;&gt;""))*(SUMPRODUCT((DATASET!$D$2:$D39=DATASET!$D40)*((DATASET!$C$2:$C39='1 · Executive View'!$B$6)+('1 · Executive View'!$B$6=""))*(DATASET!$D$2:$D39&lt;&gt;"")*(DATASET!$G$2:$G39&lt;&gt;""))=0))&gt;0,DATASET!$D40,"")</f>
        <v/>
      </c>
      <c r="G40" t="str">
        <f t="shared" si="21"/>
        <v/>
      </c>
      <c r="H40" t="str">
        <f>IF(((((DATASET!$C40='1 · Executive View'!$B$6)+('1 · Executive View'!$B$6=""))*((DATASET!$D40='1 · Executive View'!$D$6)+('1 · Executive View'!$D$6=""))*(DATASET!$E40&lt;&gt;"")*(DATASET!$G40&lt;&gt;""))*(SUMPRODUCT((DATASET!$E$2:$E39=DATASET!$E40)*((DATASET!$C$2:$C39='1 · Executive View'!$B$6)+('1 · Executive View'!$B$6=""))*((DATASET!$D$2:$D39='1 · Executive View'!$D$6)+('1 · Executive View'!$D$6=""))*(DATASET!$E$2:$E39&lt;&gt;"")*(DATASET!$G$2:$G39&lt;&gt;""))=0))&gt;0,DATASET!$E40,"")</f>
        <v/>
      </c>
      <c r="I40" t="str">
        <f t="shared" si="22"/>
        <v/>
      </c>
      <c r="J40" t="str">
        <f>IF(((((DATASET!$C40='1 · Executive View'!$B$6)+('1 · Executive View'!$B$6=""))*((DATASET!$D40='1 · Executive View'!$D$6)+('1 · Executive View'!$D$6=""))*((DATASET!$E40='1 · Executive View'!$F$6)+('1 · Executive View'!$F$6=""))*(DATASET!$F40&lt;&gt;"")*(DATASET!$G40&lt;&gt;""))*(SUMPRODUCT((DATASET!$F$2:$F39=DATASET!$F40)*((DATASET!$C$2:$C39='1 · Executive View'!$B$6)+('1 · Executive View'!$B$6=""))*((DATASET!$D$2:$D39='1 · Executive View'!$D$6)+('1 · Executive View'!$D$6=""))*((DATASET!$E$2:$E39='1 · Executive View'!$F$6)+('1 · Executive View'!$F$6=""))*(DATASET!$F$2:$F39&lt;&gt;"")*(DATASET!$G$2:$G39&lt;&gt;""))=0))&gt;0,DATASET!$F40,"")</f>
        <v/>
      </c>
      <c r="K40" t="str">
        <f t="shared" si="23"/>
        <v/>
      </c>
      <c r="N40">
        <f>IF((((DATASET!$C40='2 · Sidebar Studio'!$B$7)+('2 · Sidebar Studio'!$B$7=""))*((DATASET!$D40='2 · Sidebar Studio'!$B$9)+('2 · Sidebar Studio'!$B$9=""))*((DATASET!$E40='2 · Sidebar Studio'!$B$11)+('2 · Sidebar Studio'!$B$11=""))*((DATASET!$F40='2 · Sidebar Studio'!$B$13)+('2 · Sidebar Studio'!$B$13=""))*(DATASET!$G40&lt;&gt;""))&gt;0,1,0)</f>
        <v>1</v>
      </c>
      <c r="O40">
        <f t="shared" si="24"/>
        <v>34</v>
      </c>
      <c r="P40" s="103">
        <f>IF(N40=1,DATASET!$I40,"")</f>
        <v>10000000</v>
      </c>
      <c r="Q40" t="str">
        <f>IF(((((DATASET!$C40='2 · Sidebar Studio'!$B$7)+('2 · Sidebar Studio'!$B$7=""))*(DATASET!$D40&lt;&gt;"")*(DATASET!$G40&lt;&gt;""))*(SUMPRODUCT((DATASET!$D$2:$D39=DATASET!$D40)*((DATASET!$C$2:$C39='2 · Sidebar Studio'!$B$7)+('2 · Sidebar Studio'!$B$7=""))*(DATASET!$D$2:$D39&lt;&gt;"")*(DATASET!$G$2:$G39&lt;&gt;""))=0))&gt;0,DATASET!$D40,"")</f>
        <v/>
      </c>
      <c r="R40" t="str">
        <f t="shared" si="25"/>
        <v/>
      </c>
      <c r="S40" t="str">
        <f>IF(((((DATASET!$C40='2 · Sidebar Studio'!$B$7)+('2 · Sidebar Studio'!$B$7=""))*((DATASET!$D40='2 · Sidebar Studio'!$B$9)+('2 · Sidebar Studio'!$B$9=""))*(DATASET!$E40&lt;&gt;"")*(DATASET!$G40&lt;&gt;""))*(SUMPRODUCT((DATASET!$E$2:$E39=DATASET!$E40)*((DATASET!$C$2:$C39='2 · Sidebar Studio'!$B$7)+('2 · Sidebar Studio'!$B$7=""))*((DATASET!$D$2:$D39='2 · Sidebar Studio'!$B$9)+('2 · Sidebar Studio'!$B$9=""))*(DATASET!$E$2:$E39&lt;&gt;"")*(DATASET!$G$2:$G39&lt;&gt;""))=0))&gt;0,DATASET!$E40,"")</f>
        <v/>
      </c>
      <c r="T40" t="str">
        <f t="shared" si="26"/>
        <v/>
      </c>
      <c r="U40" t="str">
        <f>IF(((((DATASET!$C40='2 · Sidebar Studio'!$B$7)+('2 · Sidebar Studio'!$B$7=""))*((DATASET!$D40='2 · Sidebar Studio'!$B$9)+('2 · Sidebar Studio'!$B$9=""))*((DATASET!$E40='2 · Sidebar Studio'!$B$11)+('2 · Sidebar Studio'!$B$11=""))*(DATASET!$F40&lt;&gt;"")*(DATASET!$G40&lt;&gt;""))*(SUMPRODUCT((DATASET!$F$2:$F39=DATASET!$F40)*((DATASET!$C$2:$C39='2 · Sidebar Studio'!$B$7)+('2 · Sidebar Studio'!$B$7=""))*((DATASET!$D$2:$D39='2 · Sidebar Studio'!$B$9)+('2 · Sidebar Studio'!$B$9=""))*((DATASET!$E$2:$E39='2 · Sidebar Studio'!$B$11)+('2 · Sidebar Studio'!$B$11=""))*(DATASET!$F$2:$F39&lt;&gt;"")*(DATASET!$G$2:$G39&lt;&gt;""))=0))&gt;0,DATASET!$F40,"")</f>
        <v/>
      </c>
      <c r="V40" t="str">
        <f t="shared" si="27"/>
        <v/>
      </c>
      <c r="Y40">
        <f>IF((((DATASET!$C40='3 · KPI Cards'!$B$9)+('3 · KPI Cards'!$B$9=""))*((DATASET!$D40='3 · KPI Cards'!$D$9)+('3 · KPI Cards'!$D$9=""))*((DATASET!$E40='3 · KPI Cards'!$F$9)+('3 · KPI Cards'!$F$9=""))*((DATASET!$F40='3 · KPI Cards'!$H$9)+('3 · KPI Cards'!$H$9=""))*(DATASET!$G40&lt;&gt;""))&gt;0,1,0)</f>
        <v>1</v>
      </c>
      <c r="Z40">
        <f t="shared" si="28"/>
        <v>34</v>
      </c>
      <c r="AA40" s="103">
        <f>IF(Y40=1,DATASET!$I40,"")</f>
        <v>10000000</v>
      </c>
      <c r="AB40" t="str">
        <f>IF(((((DATASET!$C40='3 · KPI Cards'!$B$9)+('3 · KPI Cards'!$B$9=""))*(DATASET!$D40&lt;&gt;"")*(DATASET!$G40&lt;&gt;""))*(SUMPRODUCT((DATASET!$D$2:$D39=DATASET!$D40)*((DATASET!$C$2:$C39='3 · KPI Cards'!$B$9)+('3 · KPI Cards'!$B$9=""))*(DATASET!$D$2:$D39&lt;&gt;"")*(DATASET!$G$2:$G39&lt;&gt;""))=0))&gt;0,DATASET!$D40,"")</f>
        <v/>
      </c>
      <c r="AC40" t="str">
        <f t="shared" si="29"/>
        <v/>
      </c>
      <c r="AD40" t="str">
        <f>IF(((((DATASET!$C40='3 · KPI Cards'!$B$9)+('3 · KPI Cards'!$B$9=""))*((DATASET!$D40='3 · KPI Cards'!$D$9)+('3 · KPI Cards'!$D$9=""))*(DATASET!$E40&lt;&gt;"")*(DATASET!$G40&lt;&gt;""))*(SUMPRODUCT((DATASET!$E$2:$E39=DATASET!$E40)*((DATASET!$C$2:$C39='3 · KPI Cards'!$B$9)+('3 · KPI Cards'!$B$9=""))*((DATASET!$D$2:$D39='3 · KPI Cards'!$D$9)+('3 · KPI Cards'!$D$9=""))*(DATASET!$E$2:$E39&lt;&gt;"")*(DATASET!$G$2:$G39&lt;&gt;""))=0))&gt;0,DATASET!$E40,"")</f>
        <v/>
      </c>
      <c r="AE40" t="str">
        <f t="shared" si="30"/>
        <v/>
      </c>
      <c r="AF40" t="str">
        <f>IF(((((DATASET!$C40='3 · KPI Cards'!$B$9)+('3 · KPI Cards'!$B$9=""))*((DATASET!$D40='3 · KPI Cards'!$D$9)+('3 · KPI Cards'!$D$9=""))*((DATASET!$E40='3 · KPI Cards'!$F$9)+('3 · KPI Cards'!$F$9=""))*(DATASET!$F40&lt;&gt;"")*(DATASET!$G40&lt;&gt;""))*(SUMPRODUCT((DATASET!$F$2:$F39=DATASET!$F40)*((DATASET!$C$2:$C39='3 · KPI Cards'!$B$9)+('3 · KPI Cards'!$B$9=""))*((DATASET!$D$2:$D39='3 · KPI Cards'!$D$9)+('3 · KPI Cards'!$D$9=""))*((DATASET!$E$2:$E39='3 · KPI Cards'!$F$9)+('3 · KPI Cards'!$F$9=""))*(DATASET!$F$2:$F39&lt;&gt;"")*(DATASET!$G$2:$G39&lt;&gt;""))=0))&gt;0,DATASET!$F40,"")</f>
        <v/>
      </c>
      <c r="AG40" t="str">
        <f t="shared" si="31"/>
        <v/>
      </c>
      <c r="AJ40">
        <f>IF((((DATASET!$C40='4 · Board Report'!$D$5)+('4 · Board Report'!$D$5=""))*((DATASET!$D40='4 · Board Report'!$D$6)+('4 · Board Report'!$D$6=""))*((DATASET!$E40='4 · Board Report'!$D$7)+('4 · Board Report'!$D$7=""))*((DATASET!$F40='4 · Board Report'!$D$8)+('4 · Board Report'!$D$8=""))*(DATASET!$G40&lt;&gt;""))&gt;0,1,0)</f>
        <v>0</v>
      </c>
      <c r="AK40" t="str">
        <f t="shared" si="32"/>
        <v/>
      </c>
      <c r="AL40" s="103" t="str">
        <f>IF(AJ40=1,DATASET!$I40,"")</f>
        <v/>
      </c>
      <c r="AM40" t="str">
        <f>IF(((((DATASET!$C40='4 · Board Report'!$D$5)+('4 · Board Report'!$D$5=""))*(DATASET!$D40&lt;&gt;"")*(DATASET!$G40&lt;&gt;""))*(SUMPRODUCT((DATASET!$D$2:$D39=DATASET!$D40)*((DATASET!$C$2:$C39='4 · Board Report'!$D$5)+('4 · Board Report'!$D$5=""))*(DATASET!$D$2:$D39&lt;&gt;"")*(DATASET!$G$2:$G39&lt;&gt;""))=0))&gt;0,DATASET!$D40,"")</f>
        <v/>
      </c>
      <c r="AN40" t="str">
        <f t="shared" si="33"/>
        <v/>
      </c>
      <c r="AO40" t="str">
        <f>IF(((((DATASET!$C40='4 · Board Report'!$D$5)+('4 · Board Report'!$D$5=""))*((DATASET!$D40='4 · Board Report'!$D$6)+('4 · Board Report'!$D$6=""))*(DATASET!$E40&lt;&gt;"")*(DATASET!$G40&lt;&gt;""))*(SUMPRODUCT((DATASET!$E$2:$E39=DATASET!$E40)*((DATASET!$C$2:$C39='4 · Board Report'!$D$5)+('4 · Board Report'!$D$5=""))*((DATASET!$D$2:$D39='4 · Board Report'!$D$6)+('4 · Board Report'!$D$6=""))*(DATASET!$E$2:$E39&lt;&gt;"")*(DATASET!$G$2:$G39&lt;&gt;""))=0))&gt;0,DATASET!$E40,"")</f>
        <v/>
      </c>
      <c r="AP40" t="str">
        <f t="shared" si="34"/>
        <v/>
      </c>
      <c r="AQ40" t="str">
        <f>IF(((((DATASET!$C40='4 · Board Report'!$D$5)+('4 · Board Report'!$D$5=""))*((DATASET!$D40='4 · Board Report'!$D$6)+('4 · Board Report'!$D$6=""))*((DATASET!$E40='4 · Board Report'!$D$7)+('4 · Board Report'!$D$7=""))*(DATASET!$F40&lt;&gt;"")*(DATASET!$G40&lt;&gt;""))*(SUMPRODUCT((DATASET!$F$2:$F39=DATASET!$F40)*((DATASET!$C$2:$C39='4 · Board Report'!$D$5)+('4 · Board Report'!$D$5=""))*((DATASET!$D$2:$D39='4 · Board Report'!$D$6)+('4 · Board Report'!$D$6=""))*((DATASET!$E$2:$E39='4 · Board Report'!$D$7)+('4 · Board Report'!$D$7=""))*(DATASET!$F$2:$F39&lt;&gt;"")*(DATASET!$G$2:$G39&lt;&gt;""))=0))&gt;0,DATASET!$F40,"")</f>
        <v/>
      </c>
      <c r="AR40" t="str">
        <f t="shared" si="35"/>
        <v/>
      </c>
      <c r="AU40">
        <f>IF((((DATASET!$C40='5 · Modern Console'!$B$4)+('5 · Modern Console'!$B$4=""))*((DATASET!$D40='5 · Modern Console'!$D$4)+('5 · Modern Console'!$D$4=""))*((DATASET!$E40='5 · Modern Console'!$F$4)+('5 · Modern Console'!$F$4=""))*((DATASET!$F40='5 · Modern Console'!$H$4)+('5 · Modern Console'!$H$4=""))*(DATASET!$G40&lt;&gt;""))&gt;0,1,0)</f>
        <v>1</v>
      </c>
      <c r="AV40">
        <f t="shared" si="36"/>
        <v>34</v>
      </c>
      <c r="AW40" s="103">
        <f>IF(AU40=1,DATASET!$I40,"")</f>
        <v>10000000</v>
      </c>
      <c r="AX40" t="str">
        <f>IF(((((DATASET!$C40='5 · Modern Console'!$B$4)+('5 · Modern Console'!$B$4=""))*(DATASET!$D40&lt;&gt;"")*(DATASET!$G40&lt;&gt;""))*(SUMPRODUCT((DATASET!$D$2:$D39=DATASET!$D40)*((DATASET!$C$2:$C39='5 · Modern Console'!$B$4)+('5 · Modern Console'!$B$4=""))*(DATASET!$D$2:$D39&lt;&gt;"")*(DATASET!$G$2:$G39&lt;&gt;""))=0))&gt;0,DATASET!$D40,"")</f>
        <v/>
      </c>
      <c r="AY40" t="str">
        <f t="shared" si="37"/>
        <v/>
      </c>
      <c r="AZ40" t="str">
        <f>IF(((((DATASET!$C40='5 · Modern Console'!$B$4)+('5 · Modern Console'!$B$4=""))*((DATASET!$D40='5 · Modern Console'!$D$4)+('5 · Modern Console'!$D$4=""))*(DATASET!$E40&lt;&gt;"")*(DATASET!$G40&lt;&gt;""))*(SUMPRODUCT((DATASET!$E$2:$E39=DATASET!$E40)*((DATASET!$C$2:$C39='5 · Modern Console'!$B$4)+('5 · Modern Console'!$B$4=""))*((DATASET!$D$2:$D39='5 · Modern Console'!$D$4)+('5 · Modern Console'!$D$4=""))*(DATASET!$E$2:$E39&lt;&gt;"")*(DATASET!$G$2:$G39&lt;&gt;""))=0))&gt;0,DATASET!$E40,"")</f>
        <v/>
      </c>
      <c r="BA40" t="str">
        <f t="shared" si="38"/>
        <v/>
      </c>
      <c r="BB40" t="str">
        <f>IF(((((DATASET!$C40='5 · Modern Console'!$B$4)+('5 · Modern Console'!$B$4=""))*((DATASET!$D40='5 · Modern Console'!$D$4)+('5 · Modern Console'!$D$4=""))*((DATASET!$E40='5 · Modern Console'!$F$4)+('5 · Modern Console'!$F$4=""))*(DATASET!$F40&lt;&gt;"")*(DATASET!$G40&lt;&gt;""))*(SUMPRODUCT((DATASET!$F$2:$F39=DATASET!$F40)*((DATASET!$C$2:$C39='5 · Modern Console'!$B$4)+('5 · Modern Console'!$B$4=""))*((DATASET!$D$2:$D39='5 · Modern Console'!$D$4)+('5 · Modern Console'!$D$4=""))*((DATASET!$E$2:$E39='5 · Modern Console'!$F$4)+('5 · Modern Console'!$F$4=""))*(DATASET!$F$2:$F39&lt;&gt;"")*(DATASET!$G$2:$G39&lt;&gt;""))=0))&gt;0,DATASET!$F40,"")</f>
        <v/>
      </c>
      <c r="BC40" t="str">
        <f t="shared" si="39"/>
        <v/>
      </c>
    </row>
    <row r="41" ht="15" customHeight="1">
      <c r="C41">
        <f>IF((((DATASET!$C41='1 · Executive View'!$B$6)+('1 · Executive View'!$B$6=""))*((DATASET!$D41='1 · Executive View'!$D$6)+('1 · Executive View'!$D$6=""))*((DATASET!$E41='1 · Executive View'!$F$6)+('1 · Executive View'!$F$6=""))*((DATASET!$F41='1 · Executive View'!$H$6)+('1 · Executive View'!$H$6=""))*(DATASET!$G41&lt;&gt;""))&gt;0,1,0)</f>
        <v>0</v>
      </c>
      <c r="D41" t="str">
        <f t="shared" si="20"/>
        <v/>
      </c>
      <c r="E41" s="103" t="str">
        <f>IF(C41=1,DATASET!$I41,"")</f>
        <v/>
      </c>
      <c r="F41" t="str">
        <f>IF(((((DATASET!$C41='1 · Executive View'!$B$6)+('1 · Executive View'!$B$6=""))*(DATASET!$D41&lt;&gt;"")*(DATASET!$G41&lt;&gt;""))*(SUMPRODUCT((DATASET!$D$2:$D40=DATASET!$D41)*((DATASET!$C$2:$C40='1 · Executive View'!$B$6)+('1 · Executive View'!$B$6=""))*(DATASET!$D$2:$D40&lt;&gt;"")*(DATASET!$G$2:$G40&lt;&gt;""))=0))&gt;0,DATASET!$D41,"")</f>
        <v/>
      </c>
      <c r="G41" t="str">
        <f t="shared" si="21"/>
        <v/>
      </c>
      <c r="H41" t="str">
        <f>IF(((((DATASET!$C41='1 · Executive View'!$B$6)+('1 · Executive View'!$B$6=""))*((DATASET!$D41='1 · Executive View'!$D$6)+('1 · Executive View'!$D$6=""))*(DATASET!$E41&lt;&gt;"")*(DATASET!$G41&lt;&gt;""))*(SUMPRODUCT((DATASET!$E$2:$E40=DATASET!$E41)*((DATASET!$C$2:$C40='1 · Executive View'!$B$6)+('1 · Executive View'!$B$6=""))*((DATASET!$D$2:$D40='1 · Executive View'!$D$6)+('1 · Executive View'!$D$6=""))*(DATASET!$E$2:$E40&lt;&gt;"")*(DATASET!$G$2:$G40&lt;&gt;""))=0))&gt;0,DATASET!$E41,"")</f>
        <v/>
      </c>
      <c r="I41" t="str">
        <f t="shared" si="22"/>
        <v/>
      </c>
      <c r="J41" t="str">
        <f>IF(((((DATASET!$C41='1 · Executive View'!$B$6)+('1 · Executive View'!$B$6=""))*((DATASET!$D41='1 · Executive View'!$D$6)+('1 · Executive View'!$D$6=""))*((DATASET!$E41='1 · Executive View'!$F$6)+('1 · Executive View'!$F$6=""))*(DATASET!$F41&lt;&gt;"")*(DATASET!$G41&lt;&gt;""))*(SUMPRODUCT((DATASET!$F$2:$F40=DATASET!$F41)*((DATASET!$C$2:$C40='1 · Executive View'!$B$6)+('1 · Executive View'!$B$6=""))*((DATASET!$D$2:$D40='1 · Executive View'!$D$6)+('1 · Executive View'!$D$6=""))*((DATASET!$E$2:$E40='1 · Executive View'!$F$6)+('1 · Executive View'!$F$6=""))*(DATASET!$F$2:$F40&lt;&gt;"")*(DATASET!$G$2:$G40&lt;&gt;""))=0))&gt;0,DATASET!$F41,"")</f>
        <v/>
      </c>
      <c r="K41" t="str">
        <f t="shared" si="23"/>
        <v/>
      </c>
      <c r="N41">
        <f>IF((((DATASET!$C41='2 · Sidebar Studio'!$B$7)+('2 · Sidebar Studio'!$B$7=""))*((DATASET!$D41='2 · Sidebar Studio'!$B$9)+('2 · Sidebar Studio'!$B$9=""))*((DATASET!$E41='2 · Sidebar Studio'!$B$11)+('2 · Sidebar Studio'!$B$11=""))*((DATASET!$F41='2 · Sidebar Studio'!$B$13)+('2 · Sidebar Studio'!$B$13=""))*(DATASET!$G41&lt;&gt;""))&gt;0,1,0)</f>
        <v>1</v>
      </c>
      <c r="O41">
        <f t="shared" si="24"/>
        <v>35</v>
      </c>
      <c r="P41" s="103">
        <f>IF(N41=1,DATASET!$I41,"")</f>
        <v>8780.3400000000001</v>
      </c>
      <c r="Q41" t="str">
        <f>IF(((((DATASET!$C41='2 · Sidebar Studio'!$B$7)+('2 · Sidebar Studio'!$B$7=""))*(DATASET!$D41&lt;&gt;"")*(DATASET!$G41&lt;&gt;""))*(SUMPRODUCT((DATASET!$D$2:$D40=DATASET!$D41)*((DATASET!$C$2:$C40='2 · Sidebar Studio'!$B$7)+('2 · Sidebar Studio'!$B$7=""))*(DATASET!$D$2:$D40&lt;&gt;"")*(DATASET!$G$2:$G40&lt;&gt;""))=0))&gt;0,DATASET!$D41,"")</f>
        <v xml:space="preserve">7) Debiti verso fornitori</v>
      </c>
      <c r="R41">
        <f t="shared" si="25"/>
        <v>16</v>
      </c>
      <c r="S41" t="str">
        <f>IF(((((DATASET!$C41='2 · Sidebar Studio'!$B$7)+('2 · Sidebar Studio'!$B$7=""))*((DATASET!$D41='2 · Sidebar Studio'!$B$9)+('2 · Sidebar Studio'!$B$9=""))*(DATASET!$E41&lt;&gt;"")*(DATASET!$G41&lt;&gt;""))*(SUMPRODUCT((DATASET!$E$2:$E40=DATASET!$E41)*((DATASET!$C$2:$C40='2 · Sidebar Studio'!$B$7)+('2 · Sidebar Studio'!$B$7=""))*((DATASET!$D$2:$D40='2 · Sidebar Studio'!$B$9)+('2 · Sidebar Studio'!$B$9=""))*(DATASET!$E$2:$E40&lt;&gt;"")*(DATASET!$G$2:$G40&lt;&gt;""))=0))&gt;0,DATASET!$E41,"")</f>
        <v/>
      </c>
      <c r="T41" t="str">
        <f t="shared" si="26"/>
        <v/>
      </c>
      <c r="U41" t="str">
        <f>IF(((((DATASET!$C41='2 · Sidebar Studio'!$B$7)+('2 · Sidebar Studio'!$B$7=""))*((DATASET!$D41='2 · Sidebar Studio'!$B$9)+('2 · Sidebar Studio'!$B$9=""))*((DATASET!$E41='2 · Sidebar Studio'!$B$11)+('2 · Sidebar Studio'!$B$11=""))*(DATASET!$F41&lt;&gt;"")*(DATASET!$G41&lt;&gt;""))*(SUMPRODUCT((DATASET!$F$2:$F40=DATASET!$F41)*((DATASET!$C$2:$C40='2 · Sidebar Studio'!$B$7)+('2 · Sidebar Studio'!$B$7=""))*((DATASET!$D$2:$D40='2 · Sidebar Studio'!$B$9)+('2 · Sidebar Studio'!$B$9=""))*((DATASET!$E$2:$E40='2 · Sidebar Studio'!$B$11)+('2 · Sidebar Studio'!$B$11=""))*(DATASET!$F$2:$F40&lt;&gt;"")*(DATASET!$G$2:$G40&lt;&gt;""))=0))&gt;0,DATASET!$F41,"")</f>
        <v/>
      </c>
      <c r="V41" t="str">
        <f t="shared" si="27"/>
        <v/>
      </c>
      <c r="Y41">
        <f>IF((((DATASET!$C41='3 · KPI Cards'!$B$9)+('3 · KPI Cards'!$B$9=""))*((DATASET!$D41='3 · KPI Cards'!$D$9)+('3 · KPI Cards'!$D$9=""))*((DATASET!$E41='3 · KPI Cards'!$F$9)+('3 · KPI Cards'!$F$9=""))*((DATASET!$F41='3 · KPI Cards'!$H$9)+('3 · KPI Cards'!$H$9=""))*(DATASET!$G41&lt;&gt;""))&gt;0,1,0)</f>
        <v>1</v>
      </c>
      <c r="Z41">
        <f t="shared" si="28"/>
        <v>35</v>
      </c>
      <c r="AA41" s="103">
        <f>IF(Y41=1,DATASET!$I41,"")</f>
        <v>8780.3400000000001</v>
      </c>
      <c r="AB41" t="str">
        <f>IF(((((DATASET!$C41='3 · KPI Cards'!$B$9)+('3 · KPI Cards'!$B$9=""))*(DATASET!$D41&lt;&gt;"")*(DATASET!$G41&lt;&gt;""))*(SUMPRODUCT((DATASET!$D$2:$D40=DATASET!$D41)*((DATASET!$C$2:$C40='3 · KPI Cards'!$B$9)+('3 · KPI Cards'!$B$9=""))*(DATASET!$D$2:$D40&lt;&gt;"")*(DATASET!$G$2:$G40&lt;&gt;""))=0))&gt;0,DATASET!$D41,"")</f>
        <v xml:space="preserve">7) Debiti verso fornitori</v>
      </c>
      <c r="AC41">
        <f t="shared" si="29"/>
        <v>16</v>
      </c>
      <c r="AD41" t="str">
        <f>IF(((((DATASET!$C41='3 · KPI Cards'!$B$9)+('3 · KPI Cards'!$B$9=""))*((DATASET!$D41='3 · KPI Cards'!$D$9)+('3 · KPI Cards'!$D$9=""))*(DATASET!$E41&lt;&gt;"")*(DATASET!$G41&lt;&gt;""))*(SUMPRODUCT((DATASET!$E$2:$E40=DATASET!$E41)*((DATASET!$C$2:$C40='3 · KPI Cards'!$B$9)+('3 · KPI Cards'!$B$9=""))*((DATASET!$D$2:$D40='3 · KPI Cards'!$D$9)+('3 · KPI Cards'!$D$9=""))*(DATASET!$E$2:$E40&lt;&gt;"")*(DATASET!$G$2:$G40&lt;&gt;""))=0))&gt;0,DATASET!$E41,"")</f>
        <v/>
      </c>
      <c r="AE41" t="str">
        <f t="shared" si="30"/>
        <v/>
      </c>
      <c r="AF41" t="str">
        <f>IF(((((DATASET!$C41='3 · KPI Cards'!$B$9)+('3 · KPI Cards'!$B$9=""))*((DATASET!$D41='3 · KPI Cards'!$D$9)+('3 · KPI Cards'!$D$9=""))*((DATASET!$E41='3 · KPI Cards'!$F$9)+('3 · KPI Cards'!$F$9=""))*(DATASET!$F41&lt;&gt;"")*(DATASET!$G41&lt;&gt;""))*(SUMPRODUCT((DATASET!$F$2:$F40=DATASET!$F41)*((DATASET!$C$2:$C40='3 · KPI Cards'!$B$9)+('3 · KPI Cards'!$B$9=""))*((DATASET!$D$2:$D40='3 · KPI Cards'!$D$9)+('3 · KPI Cards'!$D$9=""))*((DATASET!$E$2:$E40='3 · KPI Cards'!$F$9)+('3 · KPI Cards'!$F$9=""))*(DATASET!$F$2:$F40&lt;&gt;"")*(DATASET!$G$2:$G40&lt;&gt;""))=0))&gt;0,DATASET!$F41,"")</f>
        <v/>
      </c>
      <c r="AG41" t="str">
        <f t="shared" si="31"/>
        <v/>
      </c>
      <c r="AJ41">
        <f>IF((((DATASET!$C41='4 · Board Report'!$D$5)+('4 · Board Report'!$D$5=""))*((DATASET!$D41='4 · Board Report'!$D$6)+('4 · Board Report'!$D$6=""))*((DATASET!$E41='4 · Board Report'!$D$7)+('4 · Board Report'!$D$7=""))*((DATASET!$F41='4 · Board Report'!$D$8)+('4 · Board Report'!$D$8=""))*(DATASET!$G41&lt;&gt;""))&gt;0,1,0)</f>
        <v>0</v>
      </c>
      <c r="AK41" t="str">
        <f t="shared" si="32"/>
        <v/>
      </c>
      <c r="AL41" s="103" t="str">
        <f>IF(AJ41=1,DATASET!$I41,"")</f>
        <v/>
      </c>
      <c r="AM41" t="str">
        <f>IF(((((DATASET!$C41='4 · Board Report'!$D$5)+('4 · Board Report'!$D$5=""))*(DATASET!$D41&lt;&gt;"")*(DATASET!$G41&lt;&gt;""))*(SUMPRODUCT((DATASET!$D$2:$D40=DATASET!$D41)*((DATASET!$C$2:$C40='4 · Board Report'!$D$5)+('4 · Board Report'!$D$5=""))*(DATASET!$D$2:$D40&lt;&gt;"")*(DATASET!$G$2:$G40&lt;&gt;""))=0))&gt;0,DATASET!$D41,"")</f>
        <v/>
      </c>
      <c r="AN41" t="str">
        <f t="shared" si="33"/>
        <v/>
      </c>
      <c r="AO41" t="str">
        <f>IF(((((DATASET!$C41='4 · Board Report'!$D$5)+('4 · Board Report'!$D$5=""))*((DATASET!$D41='4 · Board Report'!$D$6)+('4 · Board Report'!$D$6=""))*(DATASET!$E41&lt;&gt;"")*(DATASET!$G41&lt;&gt;""))*(SUMPRODUCT((DATASET!$E$2:$E40=DATASET!$E41)*((DATASET!$C$2:$C40='4 · Board Report'!$D$5)+('4 · Board Report'!$D$5=""))*((DATASET!$D$2:$D40='4 · Board Report'!$D$6)+('4 · Board Report'!$D$6=""))*(DATASET!$E$2:$E40&lt;&gt;"")*(DATASET!$G$2:$G40&lt;&gt;""))=0))&gt;0,DATASET!$E41,"")</f>
        <v/>
      </c>
      <c r="AP41" t="str">
        <f t="shared" si="34"/>
        <v/>
      </c>
      <c r="AQ41" t="str">
        <f>IF(((((DATASET!$C41='4 · Board Report'!$D$5)+('4 · Board Report'!$D$5=""))*((DATASET!$D41='4 · Board Report'!$D$6)+('4 · Board Report'!$D$6=""))*((DATASET!$E41='4 · Board Report'!$D$7)+('4 · Board Report'!$D$7=""))*(DATASET!$F41&lt;&gt;"")*(DATASET!$G41&lt;&gt;""))*(SUMPRODUCT((DATASET!$F$2:$F40=DATASET!$F41)*((DATASET!$C$2:$C40='4 · Board Report'!$D$5)+('4 · Board Report'!$D$5=""))*((DATASET!$D$2:$D40='4 · Board Report'!$D$6)+('4 · Board Report'!$D$6=""))*((DATASET!$E$2:$E40='4 · Board Report'!$D$7)+('4 · Board Report'!$D$7=""))*(DATASET!$F$2:$F40&lt;&gt;"")*(DATASET!$G$2:$G40&lt;&gt;""))=0))&gt;0,DATASET!$F41,"")</f>
        <v/>
      </c>
      <c r="AR41" t="str">
        <f t="shared" si="35"/>
        <v/>
      </c>
      <c r="AU41">
        <f>IF((((DATASET!$C41='5 · Modern Console'!$B$4)+('5 · Modern Console'!$B$4=""))*((DATASET!$D41='5 · Modern Console'!$D$4)+('5 · Modern Console'!$D$4=""))*((DATASET!$E41='5 · Modern Console'!$F$4)+('5 · Modern Console'!$F$4=""))*((DATASET!$F41='5 · Modern Console'!$H$4)+('5 · Modern Console'!$H$4=""))*(DATASET!$G41&lt;&gt;""))&gt;0,1,0)</f>
        <v>1</v>
      </c>
      <c r="AV41">
        <f t="shared" si="36"/>
        <v>35</v>
      </c>
      <c r="AW41" s="103">
        <f>IF(AU41=1,DATASET!$I41,"")</f>
        <v>8780.3400000000001</v>
      </c>
      <c r="AX41" t="str">
        <f>IF(((((DATASET!$C41='5 · Modern Console'!$B$4)+('5 · Modern Console'!$B$4=""))*(DATASET!$D41&lt;&gt;"")*(DATASET!$G41&lt;&gt;""))*(SUMPRODUCT((DATASET!$D$2:$D40=DATASET!$D41)*((DATASET!$C$2:$C40='5 · Modern Console'!$B$4)+('5 · Modern Console'!$B$4=""))*(DATASET!$D$2:$D40&lt;&gt;"")*(DATASET!$G$2:$G40&lt;&gt;""))=0))&gt;0,DATASET!$D41,"")</f>
        <v xml:space="preserve">7) Debiti verso fornitori</v>
      </c>
      <c r="AY41">
        <f t="shared" si="37"/>
        <v>16</v>
      </c>
      <c r="AZ41" t="str">
        <f>IF(((((DATASET!$C41='5 · Modern Console'!$B$4)+('5 · Modern Console'!$B$4=""))*((DATASET!$D41='5 · Modern Console'!$D$4)+('5 · Modern Console'!$D$4=""))*(DATASET!$E41&lt;&gt;"")*(DATASET!$G41&lt;&gt;""))*(SUMPRODUCT((DATASET!$E$2:$E40=DATASET!$E41)*((DATASET!$C$2:$C40='5 · Modern Console'!$B$4)+('5 · Modern Console'!$B$4=""))*((DATASET!$D$2:$D40='5 · Modern Console'!$D$4)+('5 · Modern Console'!$D$4=""))*(DATASET!$E$2:$E40&lt;&gt;"")*(DATASET!$G$2:$G40&lt;&gt;""))=0))&gt;0,DATASET!$E41,"")</f>
        <v/>
      </c>
      <c r="BA41" t="str">
        <f t="shared" si="38"/>
        <v/>
      </c>
      <c r="BB41" t="str">
        <f>IF(((((DATASET!$C41='5 · Modern Console'!$B$4)+('5 · Modern Console'!$B$4=""))*((DATASET!$D41='5 · Modern Console'!$D$4)+('5 · Modern Console'!$D$4=""))*((DATASET!$E41='5 · Modern Console'!$F$4)+('5 · Modern Console'!$F$4=""))*(DATASET!$F41&lt;&gt;"")*(DATASET!$G41&lt;&gt;""))*(SUMPRODUCT((DATASET!$F$2:$F40=DATASET!$F41)*((DATASET!$C$2:$C40='5 · Modern Console'!$B$4)+('5 · Modern Console'!$B$4=""))*((DATASET!$D$2:$D40='5 · Modern Console'!$D$4)+('5 · Modern Console'!$D$4=""))*((DATASET!$E$2:$E40='5 · Modern Console'!$F$4)+('5 · Modern Console'!$F$4=""))*(DATASET!$F$2:$F40&lt;&gt;"")*(DATASET!$G$2:$G40&lt;&gt;""))=0))&gt;0,DATASET!$F41,"")</f>
        <v/>
      </c>
      <c r="BC41" t="str">
        <f t="shared" si="39"/>
        <v/>
      </c>
    </row>
    <row r="42" ht="15" customHeight="1">
      <c r="C42">
        <f>IF((((DATASET!$C42='1 · Executive View'!$B$6)+('1 · Executive View'!$B$6=""))*((DATASET!$D42='1 · Executive View'!$D$6)+('1 · Executive View'!$D$6=""))*((DATASET!$E42='1 · Executive View'!$F$6)+('1 · Executive View'!$F$6=""))*((DATASET!$F42='1 · Executive View'!$H$6)+('1 · Executive View'!$H$6=""))*(DATASET!$G42&lt;&gt;""))&gt;0,1,0)</f>
        <v>0</v>
      </c>
      <c r="D42" t="str">
        <f t="shared" si="20"/>
        <v/>
      </c>
      <c r="E42" s="103" t="str">
        <f>IF(C42=1,DATASET!$I42,"")</f>
        <v/>
      </c>
      <c r="F42" t="str">
        <f>IF(((((DATASET!$C42='1 · Executive View'!$B$6)+('1 · Executive View'!$B$6=""))*(DATASET!$D42&lt;&gt;"")*(DATASET!$G42&lt;&gt;""))*(SUMPRODUCT((DATASET!$D$2:$D41=DATASET!$D42)*((DATASET!$C$2:$C41='1 · Executive View'!$B$6)+('1 · Executive View'!$B$6=""))*(DATASET!$D$2:$D41&lt;&gt;"")*(DATASET!$G$2:$G41&lt;&gt;""))=0))&gt;0,DATASET!$D42,"")</f>
        <v/>
      </c>
      <c r="G42" t="str">
        <f t="shared" si="21"/>
        <v/>
      </c>
      <c r="H42" t="str">
        <f>IF(((((DATASET!$C42='1 · Executive View'!$B$6)+('1 · Executive View'!$B$6=""))*((DATASET!$D42='1 · Executive View'!$D$6)+('1 · Executive View'!$D$6=""))*(DATASET!$E42&lt;&gt;"")*(DATASET!$G42&lt;&gt;""))*(SUMPRODUCT((DATASET!$E$2:$E41=DATASET!$E42)*((DATASET!$C$2:$C41='1 · Executive View'!$B$6)+('1 · Executive View'!$B$6=""))*((DATASET!$D$2:$D41='1 · Executive View'!$D$6)+('1 · Executive View'!$D$6=""))*(DATASET!$E$2:$E41&lt;&gt;"")*(DATASET!$G$2:$G41&lt;&gt;""))=0))&gt;0,DATASET!$E42,"")</f>
        <v/>
      </c>
      <c r="I42" t="str">
        <f t="shared" si="22"/>
        <v/>
      </c>
      <c r="J42" t="str">
        <f>IF(((((DATASET!$C42='1 · Executive View'!$B$6)+('1 · Executive View'!$B$6=""))*((DATASET!$D42='1 · Executive View'!$D$6)+('1 · Executive View'!$D$6=""))*((DATASET!$E42='1 · Executive View'!$F$6)+('1 · Executive View'!$F$6=""))*(DATASET!$F42&lt;&gt;"")*(DATASET!$G42&lt;&gt;""))*(SUMPRODUCT((DATASET!$F$2:$F41=DATASET!$F42)*((DATASET!$C$2:$C41='1 · Executive View'!$B$6)+('1 · Executive View'!$B$6=""))*((DATASET!$D$2:$D41='1 · Executive View'!$D$6)+('1 · Executive View'!$D$6=""))*((DATASET!$E$2:$E41='1 · Executive View'!$F$6)+('1 · Executive View'!$F$6=""))*(DATASET!$F$2:$F41&lt;&gt;"")*(DATASET!$G$2:$G41&lt;&gt;""))=0))&gt;0,DATASET!$F42,"")</f>
        <v/>
      </c>
      <c r="K42" t="str">
        <f t="shared" si="23"/>
        <v/>
      </c>
      <c r="N42">
        <f>IF((((DATASET!$C42='2 · Sidebar Studio'!$B$7)+('2 · Sidebar Studio'!$B$7=""))*((DATASET!$D42='2 · Sidebar Studio'!$B$9)+('2 · Sidebar Studio'!$B$9=""))*((DATASET!$E42='2 · Sidebar Studio'!$B$11)+('2 · Sidebar Studio'!$B$11=""))*((DATASET!$F42='2 · Sidebar Studio'!$B$13)+('2 · Sidebar Studio'!$B$13=""))*(DATASET!$G42&lt;&gt;""))&gt;0,1,0)</f>
        <v>1</v>
      </c>
      <c r="O42">
        <f t="shared" si="24"/>
        <v>36</v>
      </c>
      <c r="P42" s="103">
        <f>IF(N42=1,DATASET!$I42,"")</f>
        <v>10500</v>
      </c>
      <c r="Q42" t="str">
        <f>IF(((((DATASET!$C42='2 · Sidebar Studio'!$B$7)+('2 · Sidebar Studio'!$B$7=""))*(DATASET!$D42&lt;&gt;"")*(DATASET!$G42&lt;&gt;""))*(SUMPRODUCT((DATASET!$D$2:$D41=DATASET!$D42)*((DATASET!$C$2:$C41='2 · Sidebar Studio'!$B$7)+('2 · Sidebar Studio'!$B$7=""))*(DATASET!$D$2:$D41&lt;&gt;"")*(DATASET!$G$2:$G41&lt;&gt;""))=0))&gt;0,DATASET!$D42,"")</f>
        <v/>
      </c>
      <c r="R42" t="str">
        <f t="shared" si="25"/>
        <v/>
      </c>
      <c r="S42" t="str">
        <f>IF(((((DATASET!$C42='2 · Sidebar Studio'!$B$7)+('2 · Sidebar Studio'!$B$7=""))*((DATASET!$D42='2 · Sidebar Studio'!$B$9)+('2 · Sidebar Studio'!$B$9=""))*(DATASET!$E42&lt;&gt;"")*(DATASET!$G42&lt;&gt;""))*(SUMPRODUCT((DATASET!$E$2:$E41=DATASET!$E42)*((DATASET!$C$2:$C41='2 · Sidebar Studio'!$B$7)+('2 · Sidebar Studio'!$B$7=""))*((DATASET!$D$2:$D41='2 · Sidebar Studio'!$B$9)+('2 · Sidebar Studio'!$B$9=""))*(DATASET!$E$2:$E41&lt;&gt;"")*(DATASET!$G$2:$G41&lt;&gt;""))=0))&gt;0,DATASET!$E42,"")</f>
        <v/>
      </c>
      <c r="T42" t="str">
        <f t="shared" si="26"/>
        <v/>
      </c>
      <c r="U42" t="str">
        <f>IF(((((DATASET!$C42='2 · Sidebar Studio'!$B$7)+('2 · Sidebar Studio'!$B$7=""))*((DATASET!$D42='2 · Sidebar Studio'!$B$9)+('2 · Sidebar Studio'!$B$9=""))*((DATASET!$E42='2 · Sidebar Studio'!$B$11)+('2 · Sidebar Studio'!$B$11=""))*(DATASET!$F42&lt;&gt;"")*(DATASET!$G42&lt;&gt;""))*(SUMPRODUCT((DATASET!$F$2:$F41=DATASET!$F42)*((DATASET!$C$2:$C41='2 · Sidebar Studio'!$B$7)+('2 · Sidebar Studio'!$B$7=""))*((DATASET!$D$2:$D41='2 · Sidebar Studio'!$B$9)+('2 · Sidebar Studio'!$B$9=""))*((DATASET!$E$2:$E41='2 · Sidebar Studio'!$B$11)+('2 · Sidebar Studio'!$B$11=""))*(DATASET!$F$2:$F41&lt;&gt;"")*(DATASET!$G$2:$G41&lt;&gt;""))=0))&gt;0,DATASET!$F42,"")</f>
        <v/>
      </c>
      <c r="V42" t="str">
        <f t="shared" si="27"/>
        <v/>
      </c>
      <c r="Y42">
        <f>IF((((DATASET!$C42='3 · KPI Cards'!$B$9)+('3 · KPI Cards'!$B$9=""))*((DATASET!$D42='3 · KPI Cards'!$D$9)+('3 · KPI Cards'!$D$9=""))*((DATASET!$E42='3 · KPI Cards'!$F$9)+('3 · KPI Cards'!$F$9=""))*((DATASET!$F42='3 · KPI Cards'!$H$9)+('3 · KPI Cards'!$H$9=""))*(DATASET!$G42&lt;&gt;""))&gt;0,1,0)</f>
        <v>1</v>
      </c>
      <c r="Z42">
        <f t="shared" si="28"/>
        <v>36</v>
      </c>
      <c r="AA42" s="103">
        <f>IF(Y42=1,DATASET!$I42,"")</f>
        <v>10500</v>
      </c>
      <c r="AB42" t="str">
        <f>IF(((((DATASET!$C42='3 · KPI Cards'!$B$9)+('3 · KPI Cards'!$B$9=""))*(DATASET!$D42&lt;&gt;"")*(DATASET!$G42&lt;&gt;""))*(SUMPRODUCT((DATASET!$D$2:$D41=DATASET!$D42)*((DATASET!$C$2:$C41='3 · KPI Cards'!$B$9)+('3 · KPI Cards'!$B$9=""))*(DATASET!$D$2:$D41&lt;&gt;"")*(DATASET!$G$2:$G41&lt;&gt;""))=0))&gt;0,DATASET!$D42,"")</f>
        <v/>
      </c>
      <c r="AC42" t="str">
        <f t="shared" si="29"/>
        <v/>
      </c>
      <c r="AD42" t="str">
        <f>IF(((((DATASET!$C42='3 · KPI Cards'!$B$9)+('3 · KPI Cards'!$B$9=""))*((DATASET!$D42='3 · KPI Cards'!$D$9)+('3 · KPI Cards'!$D$9=""))*(DATASET!$E42&lt;&gt;"")*(DATASET!$G42&lt;&gt;""))*(SUMPRODUCT((DATASET!$E$2:$E41=DATASET!$E42)*((DATASET!$C$2:$C41='3 · KPI Cards'!$B$9)+('3 · KPI Cards'!$B$9=""))*((DATASET!$D$2:$D41='3 · KPI Cards'!$D$9)+('3 · KPI Cards'!$D$9=""))*(DATASET!$E$2:$E41&lt;&gt;"")*(DATASET!$G$2:$G41&lt;&gt;""))=0))&gt;0,DATASET!$E42,"")</f>
        <v/>
      </c>
      <c r="AE42" t="str">
        <f t="shared" si="30"/>
        <v/>
      </c>
      <c r="AF42" t="str">
        <f>IF(((((DATASET!$C42='3 · KPI Cards'!$B$9)+('3 · KPI Cards'!$B$9=""))*((DATASET!$D42='3 · KPI Cards'!$D$9)+('3 · KPI Cards'!$D$9=""))*((DATASET!$E42='3 · KPI Cards'!$F$9)+('3 · KPI Cards'!$F$9=""))*(DATASET!$F42&lt;&gt;"")*(DATASET!$G42&lt;&gt;""))*(SUMPRODUCT((DATASET!$F$2:$F41=DATASET!$F42)*((DATASET!$C$2:$C41='3 · KPI Cards'!$B$9)+('3 · KPI Cards'!$B$9=""))*((DATASET!$D$2:$D41='3 · KPI Cards'!$D$9)+('3 · KPI Cards'!$D$9=""))*((DATASET!$E$2:$E41='3 · KPI Cards'!$F$9)+('3 · KPI Cards'!$F$9=""))*(DATASET!$F$2:$F41&lt;&gt;"")*(DATASET!$G$2:$G41&lt;&gt;""))=0))&gt;0,DATASET!$F42,"")</f>
        <v/>
      </c>
      <c r="AG42" t="str">
        <f t="shared" si="31"/>
        <v/>
      </c>
      <c r="AJ42">
        <f>IF((((DATASET!$C42='4 · Board Report'!$D$5)+('4 · Board Report'!$D$5=""))*((DATASET!$D42='4 · Board Report'!$D$6)+('4 · Board Report'!$D$6=""))*((DATASET!$E42='4 · Board Report'!$D$7)+('4 · Board Report'!$D$7=""))*((DATASET!$F42='4 · Board Report'!$D$8)+('4 · Board Report'!$D$8=""))*(DATASET!$G42&lt;&gt;""))&gt;0,1,0)</f>
        <v>0</v>
      </c>
      <c r="AK42" t="str">
        <f t="shared" si="32"/>
        <v/>
      </c>
      <c r="AL42" s="103" t="str">
        <f>IF(AJ42=1,DATASET!$I42,"")</f>
        <v/>
      </c>
      <c r="AM42" t="str">
        <f>IF(((((DATASET!$C42='4 · Board Report'!$D$5)+('4 · Board Report'!$D$5=""))*(DATASET!$D42&lt;&gt;"")*(DATASET!$G42&lt;&gt;""))*(SUMPRODUCT((DATASET!$D$2:$D41=DATASET!$D42)*((DATASET!$C$2:$C41='4 · Board Report'!$D$5)+('4 · Board Report'!$D$5=""))*(DATASET!$D$2:$D41&lt;&gt;"")*(DATASET!$G$2:$G41&lt;&gt;""))=0))&gt;0,DATASET!$D42,"")</f>
        <v/>
      </c>
      <c r="AN42" t="str">
        <f t="shared" si="33"/>
        <v/>
      </c>
      <c r="AO42" t="str">
        <f>IF(((((DATASET!$C42='4 · Board Report'!$D$5)+('4 · Board Report'!$D$5=""))*((DATASET!$D42='4 · Board Report'!$D$6)+('4 · Board Report'!$D$6=""))*(DATASET!$E42&lt;&gt;"")*(DATASET!$G42&lt;&gt;""))*(SUMPRODUCT((DATASET!$E$2:$E41=DATASET!$E42)*((DATASET!$C$2:$C41='4 · Board Report'!$D$5)+('4 · Board Report'!$D$5=""))*((DATASET!$D$2:$D41='4 · Board Report'!$D$6)+('4 · Board Report'!$D$6=""))*(DATASET!$E$2:$E41&lt;&gt;"")*(DATASET!$G$2:$G41&lt;&gt;""))=0))&gt;0,DATASET!$E42,"")</f>
        <v/>
      </c>
      <c r="AP42" t="str">
        <f t="shared" si="34"/>
        <v/>
      </c>
      <c r="AQ42" t="str">
        <f>IF(((((DATASET!$C42='4 · Board Report'!$D$5)+('4 · Board Report'!$D$5=""))*((DATASET!$D42='4 · Board Report'!$D$6)+('4 · Board Report'!$D$6=""))*((DATASET!$E42='4 · Board Report'!$D$7)+('4 · Board Report'!$D$7=""))*(DATASET!$F42&lt;&gt;"")*(DATASET!$G42&lt;&gt;""))*(SUMPRODUCT((DATASET!$F$2:$F41=DATASET!$F42)*((DATASET!$C$2:$C41='4 · Board Report'!$D$5)+('4 · Board Report'!$D$5=""))*((DATASET!$D$2:$D41='4 · Board Report'!$D$6)+('4 · Board Report'!$D$6=""))*((DATASET!$E$2:$E41='4 · Board Report'!$D$7)+('4 · Board Report'!$D$7=""))*(DATASET!$F$2:$F41&lt;&gt;"")*(DATASET!$G$2:$G41&lt;&gt;""))=0))&gt;0,DATASET!$F42,"")</f>
        <v/>
      </c>
      <c r="AR42" t="str">
        <f t="shared" si="35"/>
        <v/>
      </c>
      <c r="AU42">
        <f>IF((((DATASET!$C42='5 · Modern Console'!$B$4)+('5 · Modern Console'!$B$4=""))*((DATASET!$D42='5 · Modern Console'!$D$4)+('5 · Modern Console'!$D$4=""))*((DATASET!$E42='5 · Modern Console'!$F$4)+('5 · Modern Console'!$F$4=""))*((DATASET!$F42='5 · Modern Console'!$H$4)+('5 · Modern Console'!$H$4=""))*(DATASET!$G42&lt;&gt;""))&gt;0,1,0)</f>
        <v>1</v>
      </c>
      <c r="AV42">
        <f t="shared" si="36"/>
        <v>36</v>
      </c>
      <c r="AW42" s="103">
        <f>IF(AU42=1,DATASET!$I42,"")</f>
        <v>10500</v>
      </c>
      <c r="AX42" t="str">
        <f>IF(((((DATASET!$C42='5 · Modern Console'!$B$4)+('5 · Modern Console'!$B$4=""))*(DATASET!$D42&lt;&gt;"")*(DATASET!$G42&lt;&gt;""))*(SUMPRODUCT((DATASET!$D$2:$D41=DATASET!$D42)*((DATASET!$C$2:$C41='5 · Modern Console'!$B$4)+('5 · Modern Console'!$B$4=""))*(DATASET!$D$2:$D41&lt;&gt;"")*(DATASET!$G$2:$G41&lt;&gt;""))=0))&gt;0,DATASET!$D42,"")</f>
        <v/>
      </c>
      <c r="AY42" t="str">
        <f t="shared" si="37"/>
        <v/>
      </c>
      <c r="AZ42" t="str">
        <f>IF(((((DATASET!$C42='5 · Modern Console'!$B$4)+('5 · Modern Console'!$B$4=""))*((DATASET!$D42='5 · Modern Console'!$D$4)+('5 · Modern Console'!$D$4=""))*(DATASET!$E42&lt;&gt;"")*(DATASET!$G42&lt;&gt;""))*(SUMPRODUCT((DATASET!$E$2:$E41=DATASET!$E42)*((DATASET!$C$2:$C41='5 · Modern Console'!$B$4)+('5 · Modern Console'!$B$4=""))*((DATASET!$D$2:$D41='5 · Modern Console'!$D$4)+('5 · Modern Console'!$D$4=""))*(DATASET!$E$2:$E41&lt;&gt;"")*(DATASET!$G$2:$G41&lt;&gt;""))=0))&gt;0,DATASET!$E42,"")</f>
        <v/>
      </c>
      <c r="BA42" t="str">
        <f t="shared" si="38"/>
        <v/>
      </c>
      <c r="BB42" t="str">
        <f>IF(((((DATASET!$C42='5 · Modern Console'!$B$4)+('5 · Modern Console'!$B$4=""))*((DATASET!$D42='5 · Modern Console'!$D$4)+('5 · Modern Console'!$D$4=""))*((DATASET!$E42='5 · Modern Console'!$F$4)+('5 · Modern Console'!$F$4=""))*(DATASET!$F42&lt;&gt;"")*(DATASET!$G42&lt;&gt;""))*(SUMPRODUCT((DATASET!$F$2:$F41=DATASET!$F42)*((DATASET!$C$2:$C41='5 · Modern Console'!$B$4)+('5 · Modern Console'!$B$4=""))*((DATASET!$D$2:$D41='5 · Modern Console'!$D$4)+('5 · Modern Console'!$D$4=""))*((DATASET!$E$2:$E41='5 · Modern Console'!$F$4)+('5 · Modern Console'!$F$4=""))*(DATASET!$F$2:$F41&lt;&gt;"")*(DATASET!$G$2:$G41&lt;&gt;""))=0))&gt;0,DATASET!$F42,"")</f>
        <v/>
      </c>
      <c r="BC42" t="str">
        <f t="shared" si="39"/>
        <v/>
      </c>
    </row>
    <row r="43" ht="15" customHeight="1">
      <c r="C43">
        <f>IF((((DATASET!$C43='1 · Executive View'!$B$6)+('1 · Executive View'!$B$6=""))*((DATASET!$D43='1 · Executive View'!$D$6)+('1 · Executive View'!$D$6=""))*((DATASET!$E43='1 · Executive View'!$F$6)+('1 · Executive View'!$F$6=""))*((DATASET!$F43='1 · Executive View'!$H$6)+('1 · Executive View'!$H$6=""))*(DATASET!$G43&lt;&gt;""))&gt;0,1,0)</f>
        <v>0</v>
      </c>
      <c r="D43" t="str">
        <f t="shared" si="20"/>
        <v/>
      </c>
      <c r="E43" s="103" t="str">
        <f>IF(C43=1,DATASET!$I43,"")</f>
        <v/>
      </c>
      <c r="F43" t="str">
        <f>IF(((((DATASET!$C43='1 · Executive View'!$B$6)+('1 · Executive View'!$B$6=""))*(DATASET!$D43&lt;&gt;"")*(DATASET!$G43&lt;&gt;""))*(SUMPRODUCT((DATASET!$D$2:$D42=DATASET!$D43)*((DATASET!$C$2:$C42='1 · Executive View'!$B$6)+('1 · Executive View'!$B$6=""))*(DATASET!$D$2:$D42&lt;&gt;"")*(DATASET!$G$2:$G42&lt;&gt;""))=0))&gt;0,DATASET!$D43,"")</f>
        <v/>
      </c>
      <c r="G43" t="str">
        <f t="shared" si="21"/>
        <v/>
      </c>
      <c r="H43" t="str">
        <f>IF(((((DATASET!$C43='1 · Executive View'!$B$6)+('1 · Executive View'!$B$6=""))*((DATASET!$D43='1 · Executive View'!$D$6)+('1 · Executive View'!$D$6=""))*(DATASET!$E43&lt;&gt;"")*(DATASET!$G43&lt;&gt;""))*(SUMPRODUCT((DATASET!$E$2:$E42=DATASET!$E43)*((DATASET!$C$2:$C42='1 · Executive View'!$B$6)+('1 · Executive View'!$B$6=""))*((DATASET!$D$2:$D42='1 · Executive View'!$D$6)+('1 · Executive View'!$D$6=""))*(DATASET!$E$2:$E42&lt;&gt;"")*(DATASET!$G$2:$G42&lt;&gt;""))=0))&gt;0,DATASET!$E43,"")</f>
        <v/>
      </c>
      <c r="I43" t="str">
        <f t="shared" si="22"/>
        <v/>
      </c>
      <c r="J43" t="str">
        <f>IF(((((DATASET!$C43='1 · Executive View'!$B$6)+('1 · Executive View'!$B$6=""))*((DATASET!$D43='1 · Executive View'!$D$6)+('1 · Executive View'!$D$6=""))*((DATASET!$E43='1 · Executive View'!$F$6)+('1 · Executive View'!$F$6=""))*(DATASET!$F43&lt;&gt;"")*(DATASET!$G43&lt;&gt;""))*(SUMPRODUCT((DATASET!$F$2:$F42=DATASET!$F43)*((DATASET!$C$2:$C42='1 · Executive View'!$B$6)+('1 · Executive View'!$B$6=""))*((DATASET!$D$2:$D42='1 · Executive View'!$D$6)+('1 · Executive View'!$D$6=""))*((DATASET!$E$2:$E42='1 · Executive View'!$F$6)+('1 · Executive View'!$F$6=""))*(DATASET!$F$2:$F42&lt;&gt;"")*(DATASET!$G$2:$G42&lt;&gt;""))=0))&gt;0,DATASET!$F43,"")</f>
        <v/>
      </c>
      <c r="K43" t="str">
        <f t="shared" si="23"/>
        <v/>
      </c>
      <c r="N43">
        <f>IF((((DATASET!$C43='2 · Sidebar Studio'!$B$7)+('2 · Sidebar Studio'!$B$7=""))*((DATASET!$D43='2 · Sidebar Studio'!$B$9)+('2 · Sidebar Studio'!$B$9=""))*((DATASET!$E43='2 · Sidebar Studio'!$B$11)+('2 · Sidebar Studio'!$B$11=""))*((DATASET!$F43='2 · Sidebar Studio'!$B$13)+('2 · Sidebar Studio'!$B$13=""))*(DATASET!$G43&lt;&gt;""))&gt;0,1,0)</f>
        <v>1</v>
      </c>
      <c r="O43">
        <f t="shared" si="24"/>
        <v>37</v>
      </c>
      <c r="P43" s="103">
        <f>IF(N43=1,DATASET!$I43,"")</f>
        <v>87776</v>
      </c>
      <c r="Q43" t="str">
        <f>IF(((((DATASET!$C43='2 · Sidebar Studio'!$B$7)+('2 · Sidebar Studio'!$B$7=""))*(DATASET!$D43&lt;&gt;"")*(DATASET!$G43&lt;&gt;""))*(SUMPRODUCT((DATASET!$D$2:$D42=DATASET!$D43)*((DATASET!$C$2:$C42='2 · Sidebar Studio'!$B$7)+('2 · Sidebar Studio'!$B$7=""))*(DATASET!$D$2:$D42&lt;&gt;"")*(DATASET!$G$2:$G42&lt;&gt;""))=0))&gt;0,DATASET!$D43,"")</f>
        <v/>
      </c>
      <c r="R43" t="str">
        <f t="shared" si="25"/>
        <v/>
      </c>
      <c r="S43" t="str">
        <f>IF(((((DATASET!$C43='2 · Sidebar Studio'!$B$7)+('2 · Sidebar Studio'!$B$7=""))*((DATASET!$D43='2 · Sidebar Studio'!$B$9)+('2 · Sidebar Studio'!$B$9=""))*(DATASET!$E43&lt;&gt;"")*(DATASET!$G43&lt;&gt;""))*(SUMPRODUCT((DATASET!$E$2:$E42=DATASET!$E43)*((DATASET!$C$2:$C42='2 · Sidebar Studio'!$B$7)+('2 · Sidebar Studio'!$B$7=""))*((DATASET!$D$2:$D42='2 · Sidebar Studio'!$B$9)+('2 · Sidebar Studio'!$B$9=""))*(DATASET!$E$2:$E42&lt;&gt;"")*(DATASET!$G$2:$G42&lt;&gt;""))=0))&gt;0,DATASET!$E43,"")</f>
        <v/>
      </c>
      <c r="T43" t="str">
        <f t="shared" si="26"/>
        <v/>
      </c>
      <c r="U43" t="str">
        <f>IF(((((DATASET!$C43='2 · Sidebar Studio'!$B$7)+('2 · Sidebar Studio'!$B$7=""))*((DATASET!$D43='2 · Sidebar Studio'!$B$9)+('2 · Sidebar Studio'!$B$9=""))*((DATASET!$E43='2 · Sidebar Studio'!$B$11)+('2 · Sidebar Studio'!$B$11=""))*(DATASET!$F43&lt;&gt;"")*(DATASET!$G43&lt;&gt;""))*(SUMPRODUCT((DATASET!$F$2:$F42=DATASET!$F43)*((DATASET!$C$2:$C42='2 · Sidebar Studio'!$B$7)+('2 · Sidebar Studio'!$B$7=""))*((DATASET!$D$2:$D42='2 · Sidebar Studio'!$B$9)+('2 · Sidebar Studio'!$B$9=""))*((DATASET!$E$2:$E42='2 · Sidebar Studio'!$B$11)+('2 · Sidebar Studio'!$B$11=""))*(DATASET!$F$2:$F42&lt;&gt;"")*(DATASET!$G$2:$G42&lt;&gt;""))=0))&gt;0,DATASET!$F43,"")</f>
        <v/>
      </c>
      <c r="V43" t="str">
        <f t="shared" si="27"/>
        <v/>
      </c>
      <c r="Y43">
        <f>IF((((DATASET!$C43='3 · KPI Cards'!$B$9)+('3 · KPI Cards'!$B$9=""))*((DATASET!$D43='3 · KPI Cards'!$D$9)+('3 · KPI Cards'!$D$9=""))*((DATASET!$E43='3 · KPI Cards'!$F$9)+('3 · KPI Cards'!$F$9=""))*((DATASET!$F43='3 · KPI Cards'!$H$9)+('3 · KPI Cards'!$H$9=""))*(DATASET!$G43&lt;&gt;""))&gt;0,1,0)</f>
        <v>1</v>
      </c>
      <c r="Z43">
        <f t="shared" si="28"/>
        <v>37</v>
      </c>
      <c r="AA43" s="103">
        <f>IF(Y43=1,DATASET!$I43,"")</f>
        <v>87776</v>
      </c>
      <c r="AB43" t="str">
        <f>IF(((((DATASET!$C43='3 · KPI Cards'!$B$9)+('3 · KPI Cards'!$B$9=""))*(DATASET!$D43&lt;&gt;"")*(DATASET!$G43&lt;&gt;""))*(SUMPRODUCT((DATASET!$D$2:$D42=DATASET!$D43)*((DATASET!$C$2:$C42='3 · KPI Cards'!$B$9)+('3 · KPI Cards'!$B$9=""))*(DATASET!$D$2:$D42&lt;&gt;"")*(DATASET!$G$2:$G42&lt;&gt;""))=0))&gt;0,DATASET!$D43,"")</f>
        <v/>
      </c>
      <c r="AC43" t="str">
        <f t="shared" si="29"/>
        <v/>
      </c>
      <c r="AD43" t="str">
        <f>IF(((((DATASET!$C43='3 · KPI Cards'!$B$9)+('3 · KPI Cards'!$B$9=""))*((DATASET!$D43='3 · KPI Cards'!$D$9)+('3 · KPI Cards'!$D$9=""))*(DATASET!$E43&lt;&gt;"")*(DATASET!$G43&lt;&gt;""))*(SUMPRODUCT((DATASET!$E$2:$E42=DATASET!$E43)*((DATASET!$C$2:$C42='3 · KPI Cards'!$B$9)+('3 · KPI Cards'!$B$9=""))*((DATASET!$D$2:$D42='3 · KPI Cards'!$D$9)+('3 · KPI Cards'!$D$9=""))*(DATASET!$E$2:$E42&lt;&gt;"")*(DATASET!$G$2:$G42&lt;&gt;""))=0))&gt;0,DATASET!$E43,"")</f>
        <v/>
      </c>
      <c r="AE43" t="str">
        <f t="shared" si="30"/>
        <v/>
      </c>
      <c r="AF43" t="str">
        <f>IF(((((DATASET!$C43='3 · KPI Cards'!$B$9)+('3 · KPI Cards'!$B$9=""))*((DATASET!$D43='3 · KPI Cards'!$D$9)+('3 · KPI Cards'!$D$9=""))*((DATASET!$E43='3 · KPI Cards'!$F$9)+('3 · KPI Cards'!$F$9=""))*(DATASET!$F43&lt;&gt;"")*(DATASET!$G43&lt;&gt;""))*(SUMPRODUCT((DATASET!$F$2:$F42=DATASET!$F43)*((DATASET!$C$2:$C42='3 · KPI Cards'!$B$9)+('3 · KPI Cards'!$B$9=""))*((DATASET!$D$2:$D42='3 · KPI Cards'!$D$9)+('3 · KPI Cards'!$D$9=""))*((DATASET!$E$2:$E42='3 · KPI Cards'!$F$9)+('3 · KPI Cards'!$F$9=""))*(DATASET!$F$2:$F42&lt;&gt;"")*(DATASET!$G$2:$G42&lt;&gt;""))=0))&gt;0,DATASET!$F43,"")</f>
        <v/>
      </c>
      <c r="AG43" t="str">
        <f t="shared" si="31"/>
        <v/>
      </c>
      <c r="AJ43">
        <f>IF((((DATASET!$C43='4 · Board Report'!$D$5)+('4 · Board Report'!$D$5=""))*((DATASET!$D43='4 · Board Report'!$D$6)+('4 · Board Report'!$D$6=""))*((DATASET!$E43='4 · Board Report'!$D$7)+('4 · Board Report'!$D$7=""))*((DATASET!$F43='4 · Board Report'!$D$8)+('4 · Board Report'!$D$8=""))*(DATASET!$G43&lt;&gt;""))&gt;0,1,0)</f>
        <v>0</v>
      </c>
      <c r="AK43" t="str">
        <f t="shared" si="32"/>
        <v/>
      </c>
      <c r="AL43" s="103" t="str">
        <f>IF(AJ43=1,DATASET!$I43,"")</f>
        <v/>
      </c>
      <c r="AM43" t="str">
        <f>IF(((((DATASET!$C43='4 · Board Report'!$D$5)+('4 · Board Report'!$D$5=""))*(DATASET!$D43&lt;&gt;"")*(DATASET!$G43&lt;&gt;""))*(SUMPRODUCT((DATASET!$D$2:$D42=DATASET!$D43)*((DATASET!$C$2:$C42='4 · Board Report'!$D$5)+('4 · Board Report'!$D$5=""))*(DATASET!$D$2:$D42&lt;&gt;"")*(DATASET!$G$2:$G42&lt;&gt;""))=0))&gt;0,DATASET!$D43,"")</f>
        <v/>
      </c>
      <c r="AN43" t="str">
        <f t="shared" si="33"/>
        <v/>
      </c>
      <c r="AO43" t="str">
        <f>IF(((((DATASET!$C43='4 · Board Report'!$D$5)+('4 · Board Report'!$D$5=""))*((DATASET!$D43='4 · Board Report'!$D$6)+('4 · Board Report'!$D$6=""))*(DATASET!$E43&lt;&gt;"")*(DATASET!$G43&lt;&gt;""))*(SUMPRODUCT((DATASET!$E$2:$E42=DATASET!$E43)*((DATASET!$C$2:$C42='4 · Board Report'!$D$5)+('4 · Board Report'!$D$5=""))*((DATASET!$D$2:$D42='4 · Board Report'!$D$6)+('4 · Board Report'!$D$6=""))*(DATASET!$E$2:$E42&lt;&gt;"")*(DATASET!$G$2:$G42&lt;&gt;""))=0))&gt;0,DATASET!$E43,"")</f>
        <v/>
      </c>
      <c r="AP43" t="str">
        <f t="shared" si="34"/>
        <v/>
      </c>
      <c r="AQ43" t="str">
        <f>IF(((((DATASET!$C43='4 · Board Report'!$D$5)+('4 · Board Report'!$D$5=""))*((DATASET!$D43='4 · Board Report'!$D$6)+('4 · Board Report'!$D$6=""))*((DATASET!$E43='4 · Board Report'!$D$7)+('4 · Board Report'!$D$7=""))*(DATASET!$F43&lt;&gt;"")*(DATASET!$G43&lt;&gt;""))*(SUMPRODUCT((DATASET!$F$2:$F42=DATASET!$F43)*((DATASET!$C$2:$C42='4 · Board Report'!$D$5)+('4 · Board Report'!$D$5=""))*((DATASET!$D$2:$D42='4 · Board Report'!$D$6)+('4 · Board Report'!$D$6=""))*((DATASET!$E$2:$E42='4 · Board Report'!$D$7)+('4 · Board Report'!$D$7=""))*(DATASET!$F$2:$F42&lt;&gt;"")*(DATASET!$G$2:$G42&lt;&gt;""))=0))&gt;0,DATASET!$F43,"")</f>
        <v/>
      </c>
      <c r="AR43" t="str">
        <f t="shared" si="35"/>
        <v/>
      </c>
      <c r="AU43">
        <f>IF((((DATASET!$C43='5 · Modern Console'!$B$4)+('5 · Modern Console'!$B$4=""))*((DATASET!$D43='5 · Modern Console'!$D$4)+('5 · Modern Console'!$D$4=""))*((DATASET!$E43='5 · Modern Console'!$F$4)+('5 · Modern Console'!$F$4=""))*((DATASET!$F43='5 · Modern Console'!$H$4)+('5 · Modern Console'!$H$4=""))*(DATASET!$G43&lt;&gt;""))&gt;0,1,0)</f>
        <v>1</v>
      </c>
      <c r="AV43">
        <f t="shared" si="36"/>
        <v>37</v>
      </c>
      <c r="AW43" s="103">
        <f>IF(AU43=1,DATASET!$I43,"")</f>
        <v>87776</v>
      </c>
      <c r="AX43" t="str">
        <f>IF(((((DATASET!$C43='5 · Modern Console'!$B$4)+('5 · Modern Console'!$B$4=""))*(DATASET!$D43&lt;&gt;"")*(DATASET!$G43&lt;&gt;""))*(SUMPRODUCT((DATASET!$D$2:$D42=DATASET!$D43)*((DATASET!$C$2:$C42='5 · Modern Console'!$B$4)+('5 · Modern Console'!$B$4=""))*(DATASET!$D$2:$D42&lt;&gt;"")*(DATASET!$G$2:$G42&lt;&gt;""))=0))&gt;0,DATASET!$D43,"")</f>
        <v/>
      </c>
      <c r="AY43" t="str">
        <f t="shared" si="37"/>
        <v/>
      </c>
      <c r="AZ43" t="str">
        <f>IF(((((DATASET!$C43='5 · Modern Console'!$B$4)+('5 · Modern Console'!$B$4=""))*((DATASET!$D43='5 · Modern Console'!$D$4)+('5 · Modern Console'!$D$4=""))*(DATASET!$E43&lt;&gt;"")*(DATASET!$G43&lt;&gt;""))*(SUMPRODUCT((DATASET!$E$2:$E42=DATASET!$E43)*((DATASET!$C$2:$C42='5 · Modern Console'!$B$4)+('5 · Modern Console'!$B$4=""))*((DATASET!$D$2:$D42='5 · Modern Console'!$D$4)+('5 · Modern Console'!$D$4=""))*(DATASET!$E$2:$E42&lt;&gt;"")*(DATASET!$G$2:$G42&lt;&gt;""))=0))&gt;0,DATASET!$E43,"")</f>
        <v/>
      </c>
      <c r="BA43" t="str">
        <f t="shared" si="38"/>
        <v/>
      </c>
      <c r="BB43" t="str">
        <f>IF(((((DATASET!$C43='5 · Modern Console'!$B$4)+('5 · Modern Console'!$B$4=""))*((DATASET!$D43='5 · Modern Console'!$D$4)+('5 · Modern Console'!$D$4=""))*((DATASET!$E43='5 · Modern Console'!$F$4)+('5 · Modern Console'!$F$4=""))*(DATASET!$F43&lt;&gt;"")*(DATASET!$G43&lt;&gt;""))*(SUMPRODUCT((DATASET!$F$2:$F42=DATASET!$F43)*((DATASET!$C$2:$C42='5 · Modern Console'!$B$4)+('5 · Modern Console'!$B$4=""))*((DATASET!$D$2:$D42='5 · Modern Console'!$D$4)+('5 · Modern Console'!$D$4=""))*((DATASET!$E$2:$E42='5 · Modern Console'!$F$4)+('5 · Modern Console'!$F$4=""))*(DATASET!$F$2:$F42&lt;&gt;"")*(DATASET!$G$2:$G42&lt;&gt;""))=0))&gt;0,DATASET!$F43,"")</f>
        <v/>
      </c>
      <c r="BC43" t="str">
        <f t="shared" si="39"/>
        <v/>
      </c>
    </row>
    <row r="44" ht="15" customHeight="1">
      <c r="C44">
        <f>IF((((DATASET!$C44='1 · Executive View'!$B$6)+('1 · Executive View'!$B$6=""))*((DATASET!$D44='1 · Executive View'!$D$6)+('1 · Executive View'!$D$6=""))*((DATASET!$E44='1 · Executive View'!$F$6)+('1 · Executive View'!$F$6=""))*((DATASET!$F44='1 · Executive View'!$H$6)+('1 · Executive View'!$H$6=""))*(DATASET!$G44&lt;&gt;""))&gt;0,1,0)</f>
        <v>0</v>
      </c>
      <c r="D44" t="str">
        <f t="shared" si="20"/>
        <v/>
      </c>
      <c r="E44" s="103" t="str">
        <f>IF(C44=1,DATASET!$I44,"")</f>
        <v/>
      </c>
      <c r="F44" t="str">
        <f>IF(((((DATASET!$C44='1 · Executive View'!$B$6)+('1 · Executive View'!$B$6=""))*(DATASET!$D44&lt;&gt;"")*(DATASET!$G44&lt;&gt;""))*(SUMPRODUCT((DATASET!$D$2:$D43=DATASET!$D44)*((DATASET!$C$2:$C43='1 · Executive View'!$B$6)+('1 · Executive View'!$B$6=""))*(DATASET!$D$2:$D43&lt;&gt;"")*(DATASET!$G$2:$G43&lt;&gt;""))=0))&gt;0,DATASET!$D44,"")</f>
        <v/>
      </c>
      <c r="G44" t="str">
        <f t="shared" si="21"/>
        <v/>
      </c>
      <c r="H44" t="str">
        <f>IF(((((DATASET!$C44='1 · Executive View'!$B$6)+('1 · Executive View'!$B$6=""))*((DATASET!$D44='1 · Executive View'!$D$6)+('1 · Executive View'!$D$6=""))*(DATASET!$E44&lt;&gt;"")*(DATASET!$G44&lt;&gt;""))*(SUMPRODUCT((DATASET!$E$2:$E43=DATASET!$E44)*((DATASET!$C$2:$C43='1 · Executive View'!$B$6)+('1 · Executive View'!$B$6=""))*((DATASET!$D$2:$D43='1 · Executive View'!$D$6)+('1 · Executive View'!$D$6=""))*(DATASET!$E$2:$E43&lt;&gt;"")*(DATASET!$G$2:$G43&lt;&gt;""))=0))&gt;0,DATASET!$E44,"")</f>
        <v/>
      </c>
      <c r="I44" t="str">
        <f t="shared" si="22"/>
        <v/>
      </c>
      <c r="J44" t="str">
        <f>IF(((((DATASET!$C44='1 · Executive View'!$B$6)+('1 · Executive View'!$B$6=""))*((DATASET!$D44='1 · Executive View'!$D$6)+('1 · Executive View'!$D$6=""))*((DATASET!$E44='1 · Executive View'!$F$6)+('1 · Executive View'!$F$6=""))*(DATASET!$F44&lt;&gt;"")*(DATASET!$G44&lt;&gt;""))*(SUMPRODUCT((DATASET!$F$2:$F43=DATASET!$F44)*((DATASET!$C$2:$C43='1 · Executive View'!$B$6)+('1 · Executive View'!$B$6=""))*((DATASET!$D$2:$D43='1 · Executive View'!$D$6)+('1 · Executive View'!$D$6=""))*((DATASET!$E$2:$E43='1 · Executive View'!$F$6)+('1 · Executive View'!$F$6=""))*(DATASET!$F$2:$F43&lt;&gt;"")*(DATASET!$G$2:$G43&lt;&gt;""))=0))&gt;0,DATASET!$F44,"")</f>
        <v/>
      </c>
      <c r="K44" t="str">
        <f t="shared" si="23"/>
        <v/>
      </c>
      <c r="N44">
        <f>IF((((DATASET!$C44='2 · Sidebar Studio'!$B$7)+('2 · Sidebar Studio'!$B$7=""))*((DATASET!$D44='2 · Sidebar Studio'!$B$9)+('2 · Sidebar Studio'!$B$9=""))*((DATASET!$E44='2 · Sidebar Studio'!$B$11)+('2 · Sidebar Studio'!$B$11=""))*((DATASET!$F44='2 · Sidebar Studio'!$B$13)+('2 · Sidebar Studio'!$B$13=""))*(DATASET!$G44&lt;&gt;""))&gt;0,1,0)</f>
        <v>1</v>
      </c>
      <c r="O44">
        <f t="shared" si="24"/>
        <v>38</v>
      </c>
      <c r="P44" s="103">
        <f>IF(N44=1,DATASET!$I44,"")</f>
        <v>26561.240000000002</v>
      </c>
      <c r="Q44" t="str">
        <f>IF(((((DATASET!$C44='2 · Sidebar Studio'!$B$7)+('2 · Sidebar Studio'!$B$7=""))*(DATASET!$D44&lt;&gt;"")*(DATASET!$G44&lt;&gt;""))*(SUMPRODUCT((DATASET!$D$2:$D43=DATASET!$D44)*((DATASET!$C$2:$C43='2 · Sidebar Studio'!$B$7)+('2 · Sidebar Studio'!$B$7=""))*(DATASET!$D$2:$D43&lt;&gt;"")*(DATASET!$G$2:$G43&lt;&gt;""))=0))&gt;0,DATASET!$D44,"")</f>
        <v/>
      </c>
      <c r="R44" t="str">
        <f t="shared" si="25"/>
        <v/>
      </c>
      <c r="S44" t="str">
        <f>IF(((((DATASET!$C44='2 · Sidebar Studio'!$B$7)+('2 · Sidebar Studio'!$B$7=""))*((DATASET!$D44='2 · Sidebar Studio'!$B$9)+('2 · Sidebar Studio'!$B$9=""))*(DATASET!$E44&lt;&gt;"")*(DATASET!$G44&lt;&gt;""))*(SUMPRODUCT((DATASET!$E$2:$E43=DATASET!$E44)*((DATASET!$C$2:$C43='2 · Sidebar Studio'!$B$7)+('2 · Sidebar Studio'!$B$7=""))*((DATASET!$D$2:$D43='2 · Sidebar Studio'!$B$9)+('2 · Sidebar Studio'!$B$9=""))*(DATASET!$E$2:$E43&lt;&gt;"")*(DATASET!$G$2:$G43&lt;&gt;""))=0))&gt;0,DATASET!$E44,"")</f>
        <v/>
      </c>
      <c r="T44" t="str">
        <f t="shared" si="26"/>
        <v/>
      </c>
      <c r="U44" t="str">
        <f>IF(((((DATASET!$C44='2 · Sidebar Studio'!$B$7)+('2 · Sidebar Studio'!$B$7=""))*((DATASET!$D44='2 · Sidebar Studio'!$B$9)+('2 · Sidebar Studio'!$B$9=""))*((DATASET!$E44='2 · Sidebar Studio'!$B$11)+('2 · Sidebar Studio'!$B$11=""))*(DATASET!$F44&lt;&gt;"")*(DATASET!$G44&lt;&gt;""))*(SUMPRODUCT((DATASET!$F$2:$F43=DATASET!$F44)*((DATASET!$C$2:$C43='2 · Sidebar Studio'!$B$7)+('2 · Sidebar Studio'!$B$7=""))*((DATASET!$D$2:$D43='2 · Sidebar Studio'!$B$9)+('2 · Sidebar Studio'!$B$9=""))*((DATASET!$E$2:$E43='2 · Sidebar Studio'!$B$11)+('2 · Sidebar Studio'!$B$11=""))*(DATASET!$F$2:$F43&lt;&gt;"")*(DATASET!$G$2:$G43&lt;&gt;""))=0))&gt;0,DATASET!$F44,"")</f>
        <v/>
      </c>
      <c r="V44" t="str">
        <f t="shared" si="27"/>
        <v/>
      </c>
      <c r="Y44">
        <f>IF((((DATASET!$C44='3 · KPI Cards'!$B$9)+('3 · KPI Cards'!$B$9=""))*((DATASET!$D44='3 · KPI Cards'!$D$9)+('3 · KPI Cards'!$D$9=""))*((DATASET!$E44='3 · KPI Cards'!$F$9)+('3 · KPI Cards'!$F$9=""))*((DATASET!$F44='3 · KPI Cards'!$H$9)+('3 · KPI Cards'!$H$9=""))*(DATASET!$G44&lt;&gt;""))&gt;0,1,0)</f>
        <v>1</v>
      </c>
      <c r="Z44">
        <f t="shared" si="28"/>
        <v>38</v>
      </c>
      <c r="AA44" s="103">
        <f>IF(Y44=1,DATASET!$I44,"")</f>
        <v>26561.240000000002</v>
      </c>
      <c r="AB44" t="str">
        <f>IF(((((DATASET!$C44='3 · KPI Cards'!$B$9)+('3 · KPI Cards'!$B$9=""))*(DATASET!$D44&lt;&gt;"")*(DATASET!$G44&lt;&gt;""))*(SUMPRODUCT((DATASET!$D$2:$D43=DATASET!$D44)*((DATASET!$C$2:$C43='3 · KPI Cards'!$B$9)+('3 · KPI Cards'!$B$9=""))*(DATASET!$D$2:$D43&lt;&gt;"")*(DATASET!$G$2:$G43&lt;&gt;""))=0))&gt;0,DATASET!$D44,"")</f>
        <v/>
      </c>
      <c r="AC44" t="str">
        <f t="shared" si="29"/>
        <v/>
      </c>
      <c r="AD44" t="str">
        <f>IF(((((DATASET!$C44='3 · KPI Cards'!$B$9)+('3 · KPI Cards'!$B$9=""))*((DATASET!$D44='3 · KPI Cards'!$D$9)+('3 · KPI Cards'!$D$9=""))*(DATASET!$E44&lt;&gt;"")*(DATASET!$G44&lt;&gt;""))*(SUMPRODUCT((DATASET!$E$2:$E43=DATASET!$E44)*((DATASET!$C$2:$C43='3 · KPI Cards'!$B$9)+('3 · KPI Cards'!$B$9=""))*((DATASET!$D$2:$D43='3 · KPI Cards'!$D$9)+('3 · KPI Cards'!$D$9=""))*(DATASET!$E$2:$E43&lt;&gt;"")*(DATASET!$G$2:$G43&lt;&gt;""))=0))&gt;0,DATASET!$E44,"")</f>
        <v/>
      </c>
      <c r="AE44" t="str">
        <f t="shared" si="30"/>
        <v/>
      </c>
      <c r="AF44" t="str">
        <f>IF(((((DATASET!$C44='3 · KPI Cards'!$B$9)+('3 · KPI Cards'!$B$9=""))*((DATASET!$D44='3 · KPI Cards'!$D$9)+('3 · KPI Cards'!$D$9=""))*((DATASET!$E44='3 · KPI Cards'!$F$9)+('3 · KPI Cards'!$F$9=""))*(DATASET!$F44&lt;&gt;"")*(DATASET!$G44&lt;&gt;""))*(SUMPRODUCT((DATASET!$F$2:$F43=DATASET!$F44)*((DATASET!$C$2:$C43='3 · KPI Cards'!$B$9)+('3 · KPI Cards'!$B$9=""))*((DATASET!$D$2:$D43='3 · KPI Cards'!$D$9)+('3 · KPI Cards'!$D$9=""))*((DATASET!$E$2:$E43='3 · KPI Cards'!$F$9)+('3 · KPI Cards'!$F$9=""))*(DATASET!$F$2:$F43&lt;&gt;"")*(DATASET!$G$2:$G43&lt;&gt;""))=0))&gt;0,DATASET!$F44,"")</f>
        <v/>
      </c>
      <c r="AG44" t="str">
        <f t="shared" si="31"/>
        <v/>
      </c>
      <c r="AJ44">
        <f>IF((((DATASET!$C44='4 · Board Report'!$D$5)+('4 · Board Report'!$D$5=""))*((DATASET!$D44='4 · Board Report'!$D$6)+('4 · Board Report'!$D$6=""))*((DATASET!$E44='4 · Board Report'!$D$7)+('4 · Board Report'!$D$7=""))*((DATASET!$F44='4 · Board Report'!$D$8)+('4 · Board Report'!$D$8=""))*(DATASET!$G44&lt;&gt;""))&gt;0,1,0)</f>
        <v>0</v>
      </c>
      <c r="AK44" t="str">
        <f t="shared" si="32"/>
        <v/>
      </c>
      <c r="AL44" s="103" t="str">
        <f>IF(AJ44=1,DATASET!$I44,"")</f>
        <v/>
      </c>
      <c r="AM44" t="str">
        <f>IF(((((DATASET!$C44='4 · Board Report'!$D$5)+('4 · Board Report'!$D$5=""))*(DATASET!$D44&lt;&gt;"")*(DATASET!$G44&lt;&gt;""))*(SUMPRODUCT((DATASET!$D$2:$D43=DATASET!$D44)*((DATASET!$C$2:$C43='4 · Board Report'!$D$5)+('4 · Board Report'!$D$5=""))*(DATASET!$D$2:$D43&lt;&gt;"")*(DATASET!$G$2:$G43&lt;&gt;""))=0))&gt;0,DATASET!$D44,"")</f>
        <v/>
      </c>
      <c r="AN44" t="str">
        <f t="shared" si="33"/>
        <v/>
      </c>
      <c r="AO44" t="str">
        <f>IF(((((DATASET!$C44='4 · Board Report'!$D$5)+('4 · Board Report'!$D$5=""))*((DATASET!$D44='4 · Board Report'!$D$6)+('4 · Board Report'!$D$6=""))*(DATASET!$E44&lt;&gt;"")*(DATASET!$G44&lt;&gt;""))*(SUMPRODUCT((DATASET!$E$2:$E43=DATASET!$E44)*((DATASET!$C$2:$C43='4 · Board Report'!$D$5)+('4 · Board Report'!$D$5=""))*((DATASET!$D$2:$D43='4 · Board Report'!$D$6)+('4 · Board Report'!$D$6=""))*(DATASET!$E$2:$E43&lt;&gt;"")*(DATASET!$G$2:$G43&lt;&gt;""))=0))&gt;0,DATASET!$E44,"")</f>
        <v/>
      </c>
      <c r="AP44" t="str">
        <f t="shared" si="34"/>
        <v/>
      </c>
      <c r="AQ44" t="str">
        <f>IF(((((DATASET!$C44='4 · Board Report'!$D$5)+('4 · Board Report'!$D$5=""))*((DATASET!$D44='4 · Board Report'!$D$6)+('4 · Board Report'!$D$6=""))*((DATASET!$E44='4 · Board Report'!$D$7)+('4 · Board Report'!$D$7=""))*(DATASET!$F44&lt;&gt;"")*(DATASET!$G44&lt;&gt;""))*(SUMPRODUCT((DATASET!$F$2:$F43=DATASET!$F44)*((DATASET!$C$2:$C43='4 · Board Report'!$D$5)+('4 · Board Report'!$D$5=""))*((DATASET!$D$2:$D43='4 · Board Report'!$D$6)+('4 · Board Report'!$D$6=""))*((DATASET!$E$2:$E43='4 · Board Report'!$D$7)+('4 · Board Report'!$D$7=""))*(DATASET!$F$2:$F43&lt;&gt;"")*(DATASET!$G$2:$G43&lt;&gt;""))=0))&gt;0,DATASET!$F44,"")</f>
        <v/>
      </c>
      <c r="AR44" t="str">
        <f t="shared" si="35"/>
        <v/>
      </c>
      <c r="AU44">
        <f>IF((((DATASET!$C44='5 · Modern Console'!$B$4)+('5 · Modern Console'!$B$4=""))*((DATASET!$D44='5 · Modern Console'!$D$4)+('5 · Modern Console'!$D$4=""))*((DATASET!$E44='5 · Modern Console'!$F$4)+('5 · Modern Console'!$F$4=""))*((DATASET!$F44='5 · Modern Console'!$H$4)+('5 · Modern Console'!$H$4=""))*(DATASET!$G44&lt;&gt;""))&gt;0,1,0)</f>
        <v>1</v>
      </c>
      <c r="AV44">
        <f t="shared" si="36"/>
        <v>38</v>
      </c>
      <c r="AW44" s="103">
        <f>IF(AU44=1,DATASET!$I44,"")</f>
        <v>26561.240000000002</v>
      </c>
      <c r="AX44" t="str">
        <f>IF(((((DATASET!$C44='5 · Modern Console'!$B$4)+('5 · Modern Console'!$B$4=""))*(DATASET!$D44&lt;&gt;"")*(DATASET!$G44&lt;&gt;""))*(SUMPRODUCT((DATASET!$D$2:$D43=DATASET!$D44)*((DATASET!$C$2:$C43='5 · Modern Console'!$B$4)+('5 · Modern Console'!$B$4=""))*(DATASET!$D$2:$D43&lt;&gt;"")*(DATASET!$G$2:$G43&lt;&gt;""))=0))&gt;0,DATASET!$D44,"")</f>
        <v/>
      </c>
      <c r="AY44" t="str">
        <f t="shared" si="37"/>
        <v/>
      </c>
      <c r="AZ44" t="str">
        <f>IF(((((DATASET!$C44='5 · Modern Console'!$B$4)+('5 · Modern Console'!$B$4=""))*((DATASET!$D44='5 · Modern Console'!$D$4)+('5 · Modern Console'!$D$4=""))*(DATASET!$E44&lt;&gt;"")*(DATASET!$G44&lt;&gt;""))*(SUMPRODUCT((DATASET!$E$2:$E43=DATASET!$E44)*((DATASET!$C$2:$C43='5 · Modern Console'!$B$4)+('5 · Modern Console'!$B$4=""))*((DATASET!$D$2:$D43='5 · Modern Console'!$D$4)+('5 · Modern Console'!$D$4=""))*(DATASET!$E$2:$E43&lt;&gt;"")*(DATASET!$G$2:$G43&lt;&gt;""))=0))&gt;0,DATASET!$E44,"")</f>
        <v/>
      </c>
      <c r="BA44" t="str">
        <f t="shared" si="38"/>
        <v/>
      </c>
      <c r="BB44" t="str">
        <f>IF(((((DATASET!$C44='5 · Modern Console'!$B$4)+('5 · Modern Console'!$B$4=""))*((DATASET!$D44='5 · Modern Console'!$D$4)+('5 · Modern Console'!$D$4=""))*((DATASET!$E44='5 · Modern Console'!$F$4)+('5 · Modern Console'!$F$4=""))*(DATASET!$F44&lt;&gt;"")*(DATASET!$G44&lt;&gt;""))*(SUMPRODUCT((DATASET!$F$2:$F43=DATASET!$F44)*((DATASET!$C$2:$C43='5 · Modern Console'!$B$4)+('5 · Modern Console'!$B$4=""))*((DATASET!$D$2:$D43='5 · Modern Console'!$D$4)+('5 · Modern Console'!$D$4=""))*((DATASET!$E$2:$E43='5 · Modern Console'!$F$4)+('5 · Modern Console'!$F$4=""))*(DATASET!$F$2:$F43&lt;&gt;"")*(DATASET!$G$2:$G43&lt;&gt;""))=0))&gt;0,DATASET!$F44,"")</f>
        <v/>
      </c>
      <c r="BC44" t="str">
        <f t="shared" si="39"/>
        <v/>
      </c>
    </row>
    <row r="45" ht="15" customHeight="1">
      <c r="C45">
        <f>IF((((DATASET!$C45='1 · Executive View'!$B$6)+('1 · Executive View'!$B$6=""))*((DATASET!$D45='1 · Executive View'!$D$6)+('1 · Executive View'!$D$6=""))*((DATASET!$E45='1 · Executive View'!$F$6)+('1 · Executive View'!$F$6=""))*((DATASET!$F45='1 · Executive View'!$H$6)+('1 · Executive View'!$H$6=""))*(DATASET!$G45&lt;&gt;""))&gt;0,1,0)</f>
        <v>0</v>
      </c>
      <c r="D45" t="str">
        <f t="shared" si="20"/>
        <v/>
      </c>
      <c r="E45" s="103" t="str">
        <f>IF(C45=1,DATASET!$I45,"")</f>
        <v/>
      </c>
      <c r="F45" t="str">
        <f>IF(((((DATASET!$C45='1 · Executive View'!$B$6)+('1 · Executive View'!$B$6=""))*(DATASET!$D45&lt;&gt;"")*(DATASET!$G45&lt;&gt;""))*(SUMPRODUCT((DATASET!$D$2:$D44=DATASET!$D45)*((DATASET!$C$2:$C44='1 · Executive View'!$B$6)+('1 · Executive View'!$B$6=""))*(DATASET!$D$2:$D44&lt;&gt;"")*(DATASET!$G$2:$G44&lt;&gt;""))=0))&gt;0,DATASET!$D45,"")</f>
        <v/>
      </c>
      <c r="G45" t="str">
        <f t="shared" si="21"/>
        <v/>
      </c>
      <c r="H45" t="str">
        <f>IF(((((DATASET!$C45='1 · Executive View'!$B$6)+('1 · Executive View'!$B$6=""))*((DATASET!$D45='1 · Executive View'!$D$6)+('1 · Executive View'!$D$6=""))*(DATASET!$E45&lt;&gt;"")*(DATASET!$G45&lt;&gt;""))*(SUMPRODUCT((DATASET!$E$2:$E44=DATASET!$E45)*((DATASET!$C$2:$C44='1 · Executive View'!$B$6)+('1 · Executive View'!$B$6=""))*((DATASET!$D$2:$D44='1 · Executive View'!$D$6)+('1 · Executive View'!$D$6=""))*(DATASET!$E$2:$E44&lt;&gt;"")*(DATASET!$G$2:$G44&lt;&gt;""))=0))&gt;0,DATASET!$E45,"")</f>
        <v/>
      </c>
      <c r="I45" t="str">
        <f t="shared" si="22"/>
        <v/>
      </c>
      <c r="J45" t="str">
        <f>IF(((((DATASET!$C45='1 · Executive View'!$B$6)+('1 · Executive View'!$B$6=""))*((DATASET!$D45='1 · Executive View'!$D$6)+('1 · Executive View'!$D$6=""))*((DATASET!$E45='1 · Executive View'!$F$6)+('1 · Executive View'!$F$6=""))*(DATASET!$F45&lt;&gt;"")*(DATASET!$G45&lt;&gt;""))*(SUMPRODUCT((DATASET!$F$2:$F44=DATASET!$F45)*((DATASET!$C$2:$C44='1 · Executive View'!$B$6)+('1 · Executive View'!$B$6=""))*((DATASET!$D$2:$D44='1 · Executive View'!$D$6)+('1 · Executive View'!$D$6=""))*((DATASET!$E$2:$E44='1 · Executive View'!$F$6)+('1 · Executive View'!$F$6=""))*(DATASET!$F$2:$F44&lt;&gt;"")*(DATASET!$G$2:$G44&lt;&gt;""))=0))&gt;0,DATASET!$F45,"")</f>
        <v/>
      </c>
      <c r="K45" t="str">
        <f t="shared" si="23"/>
        <v/>
      </c>
      <c r="N45">
        <f>IF((((DATASET!$C45='2 · Sidebar Studio'!$B$7)+('2 · Sidebar Studio'!$B$7=""))*((DATASET!$D45='2 · Sidebar Studio'!$B$9)+('2 · Sidebar Studio'!$B$9=""))*((DATASET!$E45='2 · Sidebar Studio'!$B$11)+('2 · Sidebar Studio'!$B$11=""))*((DATASET!$F45='2 · Sidebar Studio'!$B$13)+('2 · Sidebar Studio'!$B$13=""))*(DATASET!$G45&lt;&gt;""))&gt;0,1,0)</f>
        <v>1</v>
      </c>
      <c r="O45">
        <f t="shared" si="24"/>
        <v>39</v>
      </c>
      <c r="P45" s="103">
        <f>IF(N45=1,DATASET!$I45,"")</f>
        <v>1802500</v>
      </c>
      <c r="Q45" t="str">
        <f>IF(((((DATASET!$C45='2 · Sidebar Studio'!$B$7)+('2 · Sidebar Studio'!$B$7=""))*(DATASET!$D45&lt;&gt;"")*(DATASET!$G45&lt;&gt;""))*(SUMPRODUCT((DATASET!$D$2:$D44=DATASET!$D45)*((DATASET!$C$2:$C44='2 · Sidebar Studio'!$B$7)+('2 · Sidebar Studio'!$B$7=""))*(DATASET!$D$2:$D44&lt;&gt;"")*(DATASET!$G$2:$G44&lt;&gt;""))=0))&gt;0,DATASET!$D45,"")</f>
        <v xml:space="preserve">14) Altri debiti</v>
      </c>
      <c r="R45">
        <f t="shared" si="25"/>
        <v>17</v>
      </c>
      <c r="S45" t="str">
        <f>IF(((((DATASET!$C45='2 · Sidebar Studio'!$B$7)+('2 · Sidebar Studio'!$B$7=""))*((DATASET!$D45='2 · Sidebar Studio'!$B$9)+('2 · Sidebar Studio'!$B$9=""))*(DATASET!$E45&lt;&gt;"")*(DATASET!$G45&lt;&gt;""))*(SUMPRODUCT((DATASET!$E$2:$E44=DATASET!$E45)*((DATASET!$C$2:$C44='2 · Sidebar Studio'!$B$7)+('2 · Sidebar Studio'!$B$7=""))*((DATASET!$D$2:$D44='2 · Sidebar Studio'!$B$9)+('2 · Sidebar Studio'!$B$9=""))*(DATASET!$E$2:$E44&lt;&gt;"")*(DATASET!$G$2:$G44&lt;&gt;""))=0))&gt;0,DATASET!$E45,"")</f>
        <v/>
      </c>
      <c r="T45" t="str">
        <f t="shared" si="26"/>
        <v/>
      </c>
      <c r="U45" t="str">
        <f>IF(((((DATASET!$C45='2 · Sidebar Studio'!$B$7)+('2 · Sidebar Studio'!$B$7=""))*((DATASET!$D45='2 · Sidebar Studio'!$B$9)+('2 · Sidebar Studio'!$B$9=""))*((DATASET!$E45='2 · Sidebar Studio'!$B$11)+('2 · Sidebar Studio'!$B$11=""))*(DATASET!$F45&lt;&gt;"")*(DATASET!$G45&lt;&gt;""))*(SUMPRODUCT((DATASET!$F$2:$F44=DATASET!$F45)*((DATASET!$C$2:$C44='2 · Sidebar Studio'!$B$7)+('2 · Sidebar Studio'!$B$7=""))*((DATASET!$D$2:$D44='2 · Sidebar Studio'!$B$9)+('2 · Sidebar Studio'!$B$9=""))*((DATASET!$E$2:$E44='2 · Sidebar Studio'!$B$11)+('2 · Sidebar Studio'!$B$11=""))*(DATASET!$F$2:$F44&lt;&gt;"")*(DATASET!$G$2:$G44&lt;&gt;""))=0))&gt;0,DATASET!$F45,"")</f>
        <v/>
      </c>
      <c r="V45" t="str">
        <f t="shared" si="27"/>
        <v/>
      </c>
      <c r="Y45">
        <f>IF((((DATASET!$C45='3 · KPI Cards'!$B$9)+('3 · KPI Cards'!$B$9=""))*((DATASET!$D45='3 · KPI Cards'!$D$9)+('3 · KPI Cards'!$D$9=""))*((DATASET!$E45='3 · KPI Cards'!$F$9)+('3 · KPI Cards'!$F$9=""))*((DATASET!$F45='3 · KPI Cards'!$H$9)+('3 · KPI Cards'!$H$9=""))*(DATASET!$G45&lt;&gt;""))&gt;0,1,0)</f>
        <v>1</v>
      </c>
      <c r="Z45">
        <f t="shared" si="28"/>
        <v>39</v>
      </c>
      <c r="AA45" s="103">
        <f>IF(Y45=1,DATASET!$I45,"")</f>
        <v>1802500</v>
      </c>
      <c r="AB45" t="str">
        <f>IF(((((DATASET!$C45='3 · KPI Cards'!$B$9)+('3 · KPI Cards'!$B$9=""))*(DATASET!$D45&lt;&gt;"")*(DATASET!$G45&lt;&gt;""))*(SUMPRODUCT((DATASET!$D$2:$D44=DATASET!$D45)*((DATASET!$C$2:$C44='3 · KPI Cards'!$B$9)+('3 · KPI Cards'!$B$9=""))*(DATASET!$D$2:$D44&lt;&gt;"")*(DATASET!$G$2:$G44&lt;&gt;""))=0))&gt;0,DATASET!$D45,"")</f>
        <v xml:space="preserve">14) Altri debiti</v>
      </c>
      <c r="AC45">
        <f t="shared" si="29"/>
        <v>17</v>
      </c>
      <c r="AD45" t="str">
        <f>IF(((((DATASET!$C45='3 · KPI Cards'!$B$9)+('3 · KPI Cards'!$B$9=""))*((DATASET!$D45='3 · KPI Cards'!$D$9)+('3 · KPI Cards'!$D$9=""))*(DATASET!$E45&lt;&gt;"")*(DATASET!$G45&lt;&gt;""))*(SUMPRODUCT((DATASET!$E$2:$E44=DATASET!$E45)*((DATASET!$C$2:$C44='3 · KPI Cards'!$B$9)+('3 · KPI Cards'!$B$9=""))*((DATASET!$D$2:$D44='3 · KPI Cards'!$D$9)+('3 · KPI Cards'!$D$9=""))*(DATASET!$E$2:$E44&lt;&gt;"")*(DATASET!$G$2:$G44&lt;&gt;""))=0))&gt;0,DATASET!$E45,"")</f>
        <v/>
      </c>
      <c r="AE45" t="str">
        <f t="shared" si="30"/>
        <v/>
      </c>
      <c r="AF45" t="str">
        <f>IF(((((DATASET!$C45='3 · KPI Cards'!$B$9)+('3 · KPI Cards'!$B$9=""))*((DATASET!$D45='3 · KPI Cards'!$D$9)+('3 · KPI Cards'!$D$9=""))*((DATASET!$E45='3 · KPI Cards'!$F$9)+('3 · KPI Cards'!$F$9=""))*(DATASET!$F45&lt;&gt;"")*(DATASET!$G45&lt;&gt;""))*(SUMPRODUCT((DATASET!$F$2:$F44=DATASET!$F45)*((DATASET!$C$2:$C44='3 · KPI Cards'!$B$9)+('3 · KPI Cards'!$B$9=""))*((DATASET!$D$2:$D44='3 · KPI Cards'!$D$9)+('3 · KPI Cards'!$D$9=""))*((DATASET!$E$2:$E44='3 · KPI Cards'!$F$9)+('3 · KPI Cards'!$F$9=""))*(DATASET!$F$2:$F44&lt;&gt;"")*(DATASET!$G$2:$G44&lt;&gt;""))=0))&gt;0,DATASET!$F45,"")</f>
        <v/>
      </c>
      <c r="AG45" t="str">
        <f t="shared" si="31"/>
        <v/>
      </c>
      <c r="AJ45">
        <f>IF((((DATASET!$C45='4 · Board Report'!$D$5)+('4 · Board Report'!$D$5=""))*((DATASET!$D45='4 · Board Report'!$D$6)+('4 · Board Report'!$D$6=""))*((DATASET!$E45='4 · Board Report'!$D$7)+('4 · Board Report'!$D$7=""))*((DATASET!$F45='4 · Board Report'!$D$8)+('4 · Board Report'!$D$8=""))*(DATASET!$G45&lt;&gt;""))&gt;0,1,0)</f>
        <v>0</v>
      </c>
      <c r="AK45" t="str">
        <f t="shared" si="32"/>
        <v/>
      </c>
      <c r="AL45" s="103" t="str">
        <f>IF(AJ45=1,DATASET!$I45,"")</f>
        <v/>
      </c>
      <c r="AM45" t="str">
        <f>IF(((((DATASET!$C45='4 · Board Report'!$D$5)+('4 · Board Report'!$D$5=""))*(DATASET!$D45&lt;&gt;"")*(DATASET!$G45&lt;&gt;""))*(SUMPRODUCT((DATASET!$D$2:$D44=DATASET!$D45)*((DATASET!$C$2:$C44='4 · Board Report'!$D$5)+('4 · Board Report'!$D$5=""))*(DATASET!$D$2:$D44&lt;&gt;"")*(DATASET!$G$2:$G44&lt;&gt;""))=0))&gt;0,DATASET!$D45,"")</f>
        <v/>
      </c>
      <c r="AN45" t="str">
        <f t="shared" si="33"/>
        <v/>
      </c>
      <c r="AO45" t="str">
        <f>IF(((((DATASET!$C45='4 · Board Report'!$D$5)+('4 · Board Report'!$D$5=""))*((DATASET!$D45='4 · Board Report'!$D$6)+('4 · Board Report'!$D$6=""))*(DATASET!$E45&lt;&gt;"")*(DATASET!$G45&lt;&gt;""))*(SUMPRODUCT((DATASET!$E$2:$E44=DATASET!$E45)*((DATASET!$C$2:$C44='4 · Board Report'!$D$5)+('4 · Board Report'!$D$5=""))*((DATASET!$D$2:$D44='4 · Board Report'!$D$6)+('4 · Board Report'!$D$6=""))*(DATASET!$E$2:$E44&lt;&gt;"")*(DATASET!$G$2:$G44&lt;&gt;""))=0))&gt;0,DATASET!$E45,"")</f>
        <v/>
      </c>
      <c r="AP45" t="str">
        <f t="shared" si="34"/>
        <v/>
      </c>
      <c r="AQ45" t="str">
        <f>IF(((((DATASET!$C45='4 · Board Report'!$D$5)+('4 · Board Report'!$D$5=""))*((DATASET!$D45='4 · Board Report'!$D$6)+('4 · Board Report'!$D$6=""))*((DATASET!$E45='4 · Board Report'!$D$7)+('4 · Board Report'!$D$7=""))*(DATASET!$F45&lt;&gt;"")*(DATASET!$G45&lt;&gt;""))*(SUMPRODUCT((DATASET!$F$2:$F44=DATASET!$F45)*((DATASET!$C$2:$C44='4 · Board Report'!$D$5)+('4 · Board Report'!$D$5=""))*((DATASET!$D$2:$D44='4 · Board Report'!$D$6)+('4 · Board Report'!$D$6=""))*((DATASET!$E$2:$E44='4 · Board Report'!$D$7)+('4 · Board Report'!$D$7=""))*(DATASET!$F$2:$F44&lt;&gt;"")*(DATASET!$G$2:$G44&lt;&gt;""))=0))&gt;0,DATASET!$F45,"")</f>
        <v/>
      </c>
      <c r="AR45" t="str">
        <f t="shared" si="35"/>
        <v/>
      </c>
      <c r="AU45">
        <f>IF((((DATASET!$C45='5 · Modern Console'!$B$4)+('5 · Modern Console'!$B$4=""))*((DATASET!$D45='5 · Modern Console'!$D$4)+('5 · Modern Console'!$D$4=""))*((DATASET!$E45='5 · Modern Console'!$F$4)+('5 · Modern Console'!$F$4=""))*((DATASET!$F45='5 · Modern Console'!$H$4)+('5 · Modern Console'!$H$4=""))*(DATASET!$G45&lt;&gt;""))&gt;0,1,0)</f>
        <v>1</v>
      </c>
      <c r="AV45">
        <f t="shared" si="36"/>
        <v>39</v>
      </c>
      <c r="AW45" s="103">
        <f>IF(AU45=1,DATASET!$I45,"")</f>
        <v>1802500</v>
      </c>
      <c r="AX45" t="str">
        <f>IF(((((DATASET!$C45='5 · Modern Console'!$B$4)+('5 · Modern Console'!$B$4=""))*(DATASET!$D45&lt;&gt;"")*(DATASET!$G45&lt;&gt;""))*(SUMPRODUCT((DATASET!$D$2:$D44=DATASET!$D45)*((DATASET!$C$2:$C44='5 · Modern Console'!$B$4)+('5 · Modern Console'!$B$4=""))*(DATASET!$D$2:$D44&lt;&gt;"")*(DATASET!$G$2:$G44&lt;&gt;""))=0))&gt;0,DATASET!$D45,"")</f>
        <v xml:space="preserve">14) Altri debiti</v>
      </c>
      <c r="AY45">
        <f t="shared" si="37"/>
        <v>17</v>
      </c>
      <c r="AZ45" t="str">
        <f>IF(((((DATASET!$C45='5 · Modern Console'!$B$4)+('5 · Modern Console'!$B$4=""))*((DATASET!$D45='5 · Modern Console'!$D$4)+('5 · Modern Console'!$D$4=""))*(DATASET!$E45&lt;&gt;"")*(DATASET!$G45&lt;&gt;""))*(SUMPRODUCT((DATASET!$E$2:$E44=DATASET!$E45)*((DATASET!$C$2:$C44='5 · Modern Console'!$B$4)+('5 · Modern Console'!$B$4=""))*((DATASET!$D$2:$D44='5 · Modern Console'!$D$4)+('5 · Modern Console'!$D$4=""))*(DATASET!$E$2:$E44&lt;&gt;"")*(DATASET!$G$2:$G44&lt;&gt;""))=0))&gt;0,DATASET!$E45,"")</f>
        <v/>
      </c>
      <c r="BA45" t="str">
        <f t="shared" si="38"/>
        <v/>
      </c>
      <c r="BB45" t="str">
        <f>IF(((((DATASET!$C45='5 · Modern Console'!$B$4)+('5 · Modern Console'!$B$4=""))*((DATASET!$D45='5 · Modern Console'!$D$4)+('5 · Modern Console'!$D$4=""))*((DATASET!$E45='5 · Modern Console'!$F$4)+('5 · Modern Console'!$F$4=""))*(DATASET!$F45&lt;&gt;"")*(DATASET!$G45&lt;&gt;""))*(SUMPRODUCT((DATASET!$F$2:$F44=DATASET!$F45)*((DATASET!$C$2:$C44='5 · Modern Console'!$B$4)+('5 · Modern Console'!$B$4=""))*((DATASET!$D$2:$D44='5 · Modern Console'!$D$4)+('5 · Modern Console'!$D$4=""))*((DATASET!$E$2:$E44='5 · Modern Console'!$F$4)+('5 · Modern Console'!$F$4=""))*(DATASET!$F$2:$F44&lt;&gt;"")*(DATASET!$G$2:$G44&lt;&gt;""))=0))&gt;0,DATASET!$F45,"")</f>
        <v/>
      </c>
      <c r="BC45" t="str">
        <f t="shared" si="39"/>
        <v/>
      </c>
    </row>
    <row r="46" ht="15" customHeight="1">
      <c r="C46">
        <f>IF((((DATASET!$C46='1 · Executive View'!$B$6)+('1 · Executive View'!$B$6=""))*((DATASET!$D46='1 · Executive View'!$D$6)+('1 · Executive View'!$D$6=""))*((DATASET!$E46='1 · Executive View'!$F$6)+('1 · Executive View'!$F$6=""))*((DATASET!$F46='1 · Executive View'!$H$6)+('1 · Executive View'!$H$6=""))*(DATASET!$G46&lt;&gt;""))&gt;0,1,0)</f>
        <v>0</v>
      </c>
      <c r="D46" t="str">
        <f t="shared" si="20"/>
        <v/>
      </c>
      <c r="E46" s="103" t="str">
        <f>IF(C46=1,DATASET!$I46,"")</f>
        <v/>
      </c>
      <c r="F46" t="str">
        <f>IF(((((DATASET!$C46='1 · Executive View'!$B$6)+('1 · Executive View'!$B$6=""))*(DATASET!$D46&lt;&gt;"")*(DATASET!$G46&lt;&gt;""))*(SUMPRODUCT((DATASET!$D$2:$D45=DATASET!$D46)*((DATASET!$C$2:$C45='1 · Executive View'!$B$6)+('1 · Executive View'!$B$6=""))*(DATASET!$D$2:$D45&lt;&gt;"")*(DATASET!$G$2:$G45&lt;&gt;""))=0))&gt;0,DATASET!$D46,"")</f>
        <v/>
      </c>
      <c r="G46" t="str">
        <f t="shared" si="21"/>
        <v/>
      </c>
      <c r="H46" t="str">
        <f>IF(((((DATASET!$C46='1 · Executive View'!$B$6)+('1 · Executive View'!$B$6=""))*((DATASET!$D46='1 · Executive View'!$D$6)+('1 · Executive View'!$D$6=""))*(DATASET!$E46&lt;&gt;"")*(DATASET!$G46&lt;&gt;""))*(SUMPRODUCT((DATASET!$E$2:$E45=DATASET!$E46)*((DATASET!$C$2:$C45='1 · Executive View'!$B$6)+('1 · Executive View'!$B$6=""))*((DATASET!$D$2:$D45='1 · Executive View'!$D$6)+('1 · Executive View'!$D$6=""))*(DATASET!$E$2:$E45&lt;&gt;"")*(DATASET!$G$2:$G45&lt;&gt;""))=0))&gt;0,DATASET!$E46,"")</f>
        <v/>
      </c>
      <c r="I46" t="str">
        <f t="shared" si="22"/>
        <v/>
      </c>
      <c r="J46" t="str">
        <f>IF(((((DATASET!$C46='1 · Executive View'!$B$6)+('1 · Executive View'!$B$6=""))*((DATASET!$D46='1 · Executive View'!$D$6)+('1 · Executive View'!$D$6=""))*((DATASET!$E46='1 · Executive View'!$F$6)+('1 · Executive View'!$F$6=""))*(DATASET!$F46&lt;&gt;"")*(DATASET!$G46&lt;&gt;""))*(SUMPRODUCT((DATASET!$F$2:$F45=DATASET!$F46)*((DATASET!$C$2:$C45='1 · Executive View'!$B$6)+('1 · Executive View'!$B$6=""))*((DATASET!$D$2:$D45='1 · Executive View'!$D$6)+('1 · Executive View'!$D$6=""))*((DATASET!$E$2:$E45='1 · Executive View'!$F$6)+('1 · Executive View'!$F$6=""))*(DATASET!$F$2:$F45&lt;&gt;"")*(DATASET!$G$2:$G45&lt;&gt;""))=0))&gt;0,DATASET!$F46,"")</f>
        <v/>
      </c>
      <c r="K46" t="str">
        <f t="shared" si="23"/>
        <v/>
      </c>
      <c r="N46">
        <f>IF((((DATASET!$C46='2 · Sidebar Studio'!$B$7)+('2 · Sidebar Studio'!$B$7=""))*((DATASET!$D46='2 · Sidebar Studio'!$B$9)+('2 · Sidebar Studio'!$B$9=""))*((DATASET!$E46='2 · Sidebar Studio'!$B$11)+('2 · Sidebar Studio'!$B$11=""))*((DATASET!$F46='2 · Sidebar Studio'!$B$13)+('2 · Sidebar Studio'!$B$13=""))*(DATASET!$G46&lt;&gt;""))&gt;0,1,0)</f>
        <v>1</v>
      </c>
      <c r="O46">
        <f t="shared" si="24"/>
        <v>40</v>
      </c>
      <c r="P46" s="103">
        <f>IF(N46=1,DATASET!$I46,"")</f>
        <v>1442.2</v>
      </c>
      <c r="Q46" t="str">
        <f>IF(((((DATASET!$C46='2 · Sidebar Studio'!$B$7)+('2 · Sidebar Studio'!$B$7=""))*(DATASET!$D46&lt;&gt;"")*(DATASET!$G46&lt;&gt;""))*(SUMPRODUCT((DATASET!$D$2:$D45=DATASET!$D46)*((DATASET!$C$2:$C45='2 · Sidebar Studio'!$B$7)+('2 · Sidebar Studio'!$B$7=""))*(DATASET!$D$2:$D45&lt;&gt;"")*(DATASET!$G$2:$G45&lt;&gt;""))=0))&gt;0,DATASET!$D46,"")</f>
        <v/>
      </c>
      <c r="R46" t="str">
        <f t="shared" si="25"/>
        <v/>
      </c>
      <c r="S46" t="str">
        <f>IF(((((DATASET!$C46='2 · Sidebar Studio'!$B$7)+('2 · Sidebar Studio'!$B$7=""))*((DATASET!$D46='2 · Sidebar Studio'!$B$9)+('2 · Sidebar Studio'!$B$9=""))*(DATASET!$E46&lt;&gt;"")*(DATASET!$G46&lt;&gt;""))*(SUMPRODUCT((DATASET!$E$2:$E45=DATASET!$E46)*((DATASET!$C$2:$C45='2 · Sidebar Studio'!$B$7)+('2 · Sidebar Studio'!$B$7=""))*((DATASET!$D$2:$D45='2 · Sidebar Studio'!$B$9)+('2 · Sidebar Studio'!$B$9=""))*(DATASET!$E$2:$E45&lt;&gt;"")*(DATASET!$G$2:$G45&lt;&gt;""))=0))&gt;0,DATASET!$E46,"")</f>
        <v/>
      </c>
      <c r="T46" t="str">
        <f t="shared" si="26"/>
        <v/>
      </c>
      <c r="U46" t="str">
        <f>IF(((((DATASET!$C46='2 · Sidebar Studio'!$B$7)+('2 · Sidebar Studio'!$B$7=""))*((DATASET!$D46='2 · Sidebar Studio'!$B$9)+('2 · Sidebar Studio'!$B$9=""))*((DATASET!$E46='2 · Sidebar Studio'!$B$11)+('2 · Sidebar Studio'!$B$11=""))*(DATASET!$F46&lt;&gt;"")*(DATASET!$G46&lt;&gt;""))*(SUMPRODUCT((DATASET!$F$2:$F45=DATASET!$F46)*((DATASET!$C$2:$C45='2 · Sidebar Studio'!$B$7)+('2 · Sidebar Studio'!$B$7=""))*((DATASET!$D$2:$D45='2 · Sidebar Studio'!$B$9)+('2 · Sidebar Studio'!$B$9=""))*((DATASET!$E$2:$E45='2 · Sidebar Studio'!$B$11)+('2 · Sidebar Studio'!$B$11=""))*(DATASET!$F$2:$F45&lt;&gt;"")*(DATASET!$G$2:$G45&lt;&gt;""))=0))&gt;0,DATASET!$F46,"")</f>
        <v/>
      </c>
      <c r="V46" t="str">
        <f t="shared" si="27"/>
        <v/>
      </c>
      <c r="Y46">
        <f>IF((((DATASET!$C46='3 · KPI Cards'!$B$9)+('3 · KPI Cards'!$B$9=""))*((DATASET!$D46='3 · KPI Cards'!$D$9)+('3 · KPI Cards'!$D$9=""))*((DATASET!$E46='3 · KPI Cards'!$F$9)+('3 · KPI Cards'!$F$9=""))*((DATASET!$F46='3 · KPI Cards'!$H$9)+('3 · KPI Cards'!$H$9=""))*(DATASET!$G46&lt;&gt;""))&gt;0,1,0)</f>
        <v>1</v>
      </c>
      <c r="Z46">
        <f t="shared" si="28"/>
        <v>40</v>
      </c>
      <c r="AA46" s="103">
        <f>IF(Y46=1,DATASET!$I46,"")</f>
        <v>1442.2</v>
      </c>
      <c r="AB46" t="str">
        <f>IF(((((DATASET!$C46='3 · KPI Cards'!$B$9)+('3 · KPI Cards'!$B$9=""))*(DATASET!$D46&lt;&gt;"")*(DATASET!$G46&lt;&gt;""))*(SUMPRODUCT((DATASET!$D$2:$D45=DATASET!$D46)*((DATASET!$C$2:$C45='3 · KPI Cards'!$B$9)+('3 · KPI Cards'!$B$9=""))*(DATASET!$D$2:$D45&lt;&gt;"")*(DATASET!$G$2:$G45&lt;&gt;""))=0))&gt;0,DATASET!$D46,"")</f>
        <v/>
      </c>
      <c r="AC46" t="str">
        <f t="shared" si="29"/>
        <v/>
      </c>
      <c r="AD46" t="str">
        <f>IF(((((DATASET!$C46='3 · KPI Cards'!$B$9)+('3 · KPI Cards'!$B$9=""))*((DATASET!$D46='3 · KPI Cards'!$D$9)+('3 · KPI Cards'!$D$9=""))*(DATASET!$E46&lt;&gt;"")*(DATASET!$G46&lt;&gt;""))*(SUMPRODUCT((DATASET!$E$2:$E45=DATASET!$E46)*((DATASET!$C$2:$C45='3 · KPI Cards'!$B$9)+('3 · KPI Cards'!$B$9=""))*((DATASET!$D$2:$D45='3 · KPI Cards'!$D$9)+('3 · KPI Cards'!$D$9=""))*(DATASET!$E$2:$E45&lt;&gt;"")*(DATASET!$G$2:$G45&lt;&gt;""))=0))&gt;0,DATASET!$E46,"")</f>
        <v/>
      </c>
      <c r="AE46" t="str">
        <f t="shared" si="30"/>
        <v/>
      </c>
      <c r="AF46" t="str">
        <f>IF(((((DATASET!$C46='3 · KPI Cards'!$B$9)+('3 · KPI Cards'!$B$9=""))*((DATASET!$D46='3 · KPI Cards'!$D$9)+('3 · KPI Cards'!$D$9=""))*((DATASET!$E46='3 · KPI Cards'!$F$9)+('3 · KPI Cards'!$F$9=""))*(DATASET!$F46&lt;&gt;"")*(DATASET!$G46&lt;&gt;""))*(SUMPRODUCT((DATASET!$F$2:$F45=DATASET!$F46)*((DATASET!$C$2:$C45='3 · KPI Cards'!$B$9)+('3 · KPI Cards'!$B$9=""))*((DATASET!$D$2:$D45='3 · KPI Cards'!$D$9)+('3 · KPI Cards'!$D$9=""))*((DATASET!$E$2:$E45='3 · KPI Cards'!$F$9)+('3 · KPI Cards'!$F$9=""))*(DATASET!$F$2:$F45&lt;&gt;"")*(DATASET!$G$2:$G45&lt;&gt;""))=0))&gt;0,DATASET!$F46,"")</f>
        <v/>
      </c>
      <c r="AG46" t="str">
        <f t="shared" si="31"/>
        <v/>
      </c>
      <c r="AJ46">
        <f>IF((((DATASET!$C46='4 · Board Report'!$D$5)+('4 · Board Report'!$D$5=""))*((DATASET!$D46='4 · Board Report'!$D$6)+('4 · Board Report'!$D$6=""))*((DATASET!$E46='4 · Board Report'!$D$7)+('4 · Board Report'!$D$7=""))*((DATASET!$F46='4 · Board Report'!$D$8)+('4 · Board Report'!$D$8=""))*(DATASET!$G46&lt;&gt;""))&gt;0,1,0)</f>
        <v>0</v>
      </c>
      <c r="AK46" t="str">
        <f t="shared" si="32"/>
        <v/>
      </c>
      <c r="AL46" s="103" t="str">
        <f>IF(AJ46=1,DATASET!$I46,"")</f>
        <v/>
      </c>
      <c r="AM46" t="str">
        <f>IF(((((DATASET!$C46='4 · Board Report'!$D$5)+('4 · Board Report'!$D$5=""))*(DATASET!$D46&lt;&gt;"")*(DATASET!$G46&lt;&gt;""))*(SUMPRODUCT((DATASET!$D$2:$D45=DATASET!$D46)*((DATASET!$C$2:$C45='4 · Board Report'!$D$5)+('4 · Board Report'!$D$5=""))*(DATASET!$D$2:$D45&lt;&gt;"")*(DATASET!$G$2:$G45&lt;&gt;""))=0))&gt;0,DATASET!$D46,"")</f>
        <v/>
      </c>
      <c r="AN46" t="str">
        <f t="shared" si="33"/>
        <v/>
      </c>
      <c r="AO46" t="str">
        <f>IF(((((DATASET!$C46='4 · Board Report'!$D$5)+('4 · Board Report'!$D$5=""))*((DATASET!$D46='4 · Board Report'!$D$6)+('4 · Board Report'!$D$6=""))*(DATASET!$E46&lt;&gt;"")*(DATASET!$G46&lt;&gt;""))*(SUMPRODUCT((DATASET!$E$2:$E45=DATASET!$E46)*((DATASET!$C$2:$C45='4 · Board Report'!$D$5)+('4 · Board Report'!$D$5=""))*((DATASET!$D$2:$D45='4 · Board Report'!$D$6)+('4 · Board Report'!$D$6=""))*(DATASET!$E$2:$E45&lt;&gt;"")*(DATASET!$G$2:$G45&lt;&gt;""))=0))&gt;0,DATASET!$E46,"")</f>
        <v/>
      </c>
      <c r="AP46" t="str">
        <f t="shared" si="34"/>
        <v/>
      </c>
      <c r="AQ46" t="str">
        <f>IF(((((DATASET!$C46='4 · Board Report'!$D$5)+('4 · Board Report'!$D$5=""))*((DATASET!$D46='4 · Board Report'!$D$6)+('4 · Board Report'!$D$6=""))*((DATASET!$E46='4 · Board Report'!$D$7)+('4 · Board Report'!$D$7=""))*(DATASET!$F46&lt;&gt;"")*(DATASET!$G46&lt;&gt;""))*(SUMPRODUCT((DATASET!$F$2:$F45=DATASET!$F46)*((DATASET!$C$2:$C45='4 · Board Report'!$D$5)+('4 · Board Report'!$D$5=""))*((DATASET!$D$2:$D45='4 · Board Report'!$D$6)+('4 · Board Report'!$D$6=""))*((DATASET!$E$2:$E45='4 · Board Report'!$D$7)+('4 · Board Report'!$D$7=""))*(DATASET!$F$2:$F45&lt;&gt;"")*(DATASET!$G$2:$G45&lt;&gt;""))=0))&gt;0,DATASET!$F46,"")</f>
        <v/>
      </c>
      <c r="AR46" t="str">
        <f t="shared" si="35"/>
        <v/>
      </c>
      <c r="AU46">
        <f>IF((((DATASET!$C46='5 · Modern Console'!$B$4)+('5 · Modern Console'!$B$4=""))*((DATASET!$D46='5 · Modern Console'!$D$4)+('5 · Modern Console'!$D$4=""))*((DATASET!$E46='5 · Modern Console'!$F$4)+('5 · Modern Console'!$F$4=""))*((DATASET!$F46='5 · Modern Console'!$H$4)+('5 · Modern Console'!$H$4=""))*(DATASET!$G46&lt;&gt;""))&gt;0,1,0)</f>
        <v>1</v>
      </c>
      <c r="AV46">
        <f t="shared" si="36"/>
        <v>40</v>
      </c>
      <c r="AW46" s="103">
        <f>IF(AU46=1,DATASET!$I46,"")</f>
        <v>1442.2</v>
      </c>
      <c r="AX46" t="str">
        <f>IF(((((DATASET!$C46='5 · Modern Console'!$B$4)+('5 · Modern Console'!$B$4=""))*(DATASET!$D46&lt;&gt;"")*(DATASET!$G46&lt;&gt;""))*(SUMPRODUCT((DATASET!$D$2:$D45=DATASET!$D46)*((DATASET!$C$2:$C45='5 · Modern Console'!$B$4)+('5 · Modern Console'!$B$4=""))*(DATASET!$D$2:$D45&lt;&gt;"")*(DATASET!$G$2:$G45&lt;&gt;""))=0))&gt;0,DATASET!$D46,"")</f>
        <v/>
      </c>
      <c r="AY46" t="str">
        <f t="shared" si="37"/>
        <v/>
      </c>
      <c r="AZ46" t="str">
        <f>IF(((((DATASET!$C46='5 · Modern Console'!$B$4)+('5 · Modern Console'!$B$4=""))*((DATASET!$D46='5 · Modern Console'!$D$4)+('5 · Modern Console'!$D$4=""))*(DATASET!$E46&lt;&gt;"")*(DATASET!$G46&lt;&gt;""))*(SUMPRODUCT((DATASET!$E$2:$E45=DATASET!$E46)*((DATASET!$C$2:$C45='5 · Modern Console'!$B$4)+('5 · Modern Console'!$B$4=""))*((DATASET!$D$2:$D45='5 · Modern Console'!$D$4)+('5 · Modern Console'!$D$4=""))*(DATASET!$E$2:$E45&lt;&gt;"")*(DATASET!$G$2:$G45&lt;&gt;""))=0))&gt;0,DATASET!$E46,"")</f>
        <v/>
      </c>
      <c r="BA46" t="str">
        <f t="shared" si="38"/>
        <v/>
      </c>
      <c r="BB46" t="str">
        <f>IF(((((DATASET!$C46='5 · Modern Console'!$B$4)+('5 · Modern Console'!$B$4=""))*((DATASET!$D46='5 · Modern Console'!$D$4)+('5 · Modern Console'!$D$4=""))*((DATASET!$E46='5 · Modern Console'!$F$4)+('5 · Modern Console'!$F$4=""))*(DATASET!$F46&lt;&gt;"")*(DATASET!$G46&lt;&gt;""))*(SUMPRODUCT((DATASET!$F$2:$F45=DATASET!$F46)*((DATASET!$C$2:$C45='5 · Modern Console'!$B$4)+('5 · Modern Console'!$B$4=""))*((DATASET!$D$2:$D45='5 · Modern Console'!$D$4)+('5 · Modern Console'!$D$4=""))*((DATASET!$E$2:$E45='5 · Modern Console'!$F$4)+('5 · Modern Console'!$F$4=""))*(DATASET!$F$2:$F45&lt;&gt;"")*(DATASET!$G$2:$G45&lt;&gt;""))=0))&gt;0,DATASET!$F46,"")</f>
        <v/>
      </c>
      <c r="BC46" t="str">
        <f t="shared" si="39"/>
        <v/>
      </c>
    </row>
    <row r="47" ht="15" customHeight="1">
      <c r="C47">
        <f>IF((((DATASET!$C47='1 · Executive View'!$B$6)+('1 · Executive View'!$B$6=""))*((DATASET!$D47='1 · Executive View'!$D$6)+('1 · Executive View'!$D$6=""))*((DATASET!$E47='1 · Executive View'!$F$6)+('1 · Executive View'!$F$6=""))*((DATASET!$F47='1 · Executive View'!$H$6)+('1 · Executive View'!$H$6=""))*(DATASET!$G47&lt;&gt;""))&gt;0,1,0)</f>
        <v>0</v>
      </c>
      <c r="D47" t="str">
        <f t="shared" si="20"/>
        <v/>
      </c>
      <c r="E47" t="str">
        <f>IF(C47=1,DATASET!$I47,"")</f>
        <v/>
      </c>
      <c r="F47" t="str">
        <f>IF(((((DATASET!$C47='1 · Executive View'!$B$6)+('1 · Executive View'!$B$6=""))*(DATASET!$D47&lt;&gt;"")*(DATASET!$G47&lt;&gt;""))*(SUMPRODUCT((DATASET!$D$2:$D46=DATASET!$D47)*((DATASET!$C$2:$C46='1 · Executive View'!$B$6)+('1 · Executive View'!$B$6=""))*(DATASET!$D$2:$D46&lt;&gt;"")*(DATASET!$G$2:$G46&lt;&gt;""))=0))&gt;0,DATASET!$D47,"")</f>
        <v/>
      </c>
      <c r="G47" t="str">
        <f t="shared" si="21"/>
        <v/>
      </c>
      <c r="H47" t="str">
        <f>IF(((((DATASET!$C47='1 · Executive View'!$B$6)+('1 · Executive View'!$B$6=""))*((DATASET!$D47='1 · Executive View'!$D$6)+('1 · Executive View'!$D$6=""))*(DATASET!$E47&lt;&gt;"")*(DATASET!$G47&lt;&gt;""))*(SUMPRODUCT((DATASET!$E$2:$E46=DATASET!$E47)*((DATASET!$C$2:$C46='1 · Executive View'!$B$6)+('1 · Executive View'!$B$6=""))*((DATASET!$D$2:$D46='1 · Executive View'!$D$6)+('1 · Executive View'!$D$6=""))*(DATASET!$E$2:$E46&lt;&gt;"")*(DATASET!$G$2:$G46&lt;&gt;""))=0))&gt;0,DATASET!$E47,"")</f>
        <v/>
      </c>
      <c r="I47" t="str">
        <f t="shared" si="22"/>
        <v/>
      </c>
      <c r="J47" t="str">
        <f>IF(((((DATASET!$C47='1 · Executive View'!$B$6)+('1 · Executive View'!$B$6=""))*((DATASET!$D47='1 · Executive View'!$D$6)+('1 · Executive View'!$D$6=""))*((DATASET!$E47='1 · Executive View'!$F$6)+('1 · Executive View'!$F$6=""))*(DATASET!$F47&lt;&gt;"")*(DATASET!$G47&lt;&gt;""))*(SUMPRODUCT((DATASET!$F$2:$F46=DATASET!$F47)*((DATASET!$C$2:$C46='1 · Executive View'!$B$6)+('1 · Executive View'!$B$6=""))*((DATASET!$D$2:$D46='1 · Executive View'!$D$6)+('1 · Executive View'!$D$6=""))*((DATASET!$E$2:$E46='1 · Executive View'!$F$6)+('1 · Executive View'!$F$6=""))*(DATASET!$F$2:$F46&lt;&gt;"")*(DATASET!$G$2:$G46&lt;&gt;""))=0))&gt;0,DATASET!$F47,"")</f>
        <v/>
      </c>
      <c r="K47" t="str">
        <f t="shared" si="23"/>
        <v/>
      </c>
      <c r="N47">
        <f>IF((((DATASET!$C47='2 · Sidebar Studio'!$B$7)+('2 · Sidebar Studio'!$B$7=""))*((DATASET!$D47='2 · Sidebar Studio'!$B$9)+('2 · Sidebar Studio'!$B$9=""))*((DATASET!$E47='2 · Sidebar Studio'!$B$11)+('2 · Sidebar Studio'!$B$11=""))*((DATASET!$F47='2 · Sidebar Studio'!$B$13)+('2 · Sidebar Studio'!$B$13=""))*(DATASET!$G47&lt;&gt;""))&gt;0,1,0)</f>
        <v>0</v>
      </c>
      <c r="O47" t="str">
        <f t="shared" si="24"/>
        <v/>
      </c>
      <c r="P47" t="str">
        <f>IF(N47=1,DATASET!$I47,"")</f>
        <v/>
      </c>
      <c r="Q47" t="str">
        <f>IF(((((DATASET!$C47='2 · Sidebar Studio'!$B$7)+('2 · Sidebar Studio'!$B$7=""))*(DATASET!$D47&lt;&gt;"")*(DATASET!$G47&lt;&gt;""))*(SUMPRODUCT((DATASET!$D$2:$D46=DATASET!$D47)*((DATASET!$C$2:$C46='2 · Sidebar Studio'!$B$7)+('2 · Sidebar Studio'!$B$7=""))*(DATASET!$D$2:$D46&lt;&gt;"")*(DATASET!$G$2:$G46&lt;&gt;""))=0))&gt;0,DATASET!$D47,"")</f>
        <v/>
      </c>
      <c r="R47" t="str">
        <f t="shared" si="25"/>
        <v/>
      </c>
      <c r="S47" t="str">
        <f>IF(((((DATASET!$C47='2 · Sidebar Studio'!$B$7)+('2 · Sidebar Studio'!$B$7=""))*((DATASET!$D47='2 · Sidebar Studio'!$B$9)+('2 · Sidebar Studio'!$B$9=""))*(DATASET!$E47&lt;&gt;"")*(DATASET!$G47&lt;&gt;""))*(SUMPRODUCT((DATASET!$E$2:$E46=DATASET!$E47)*((DATASET!$C$2:$C46='2 · Sidebar Studio'!$B$7)+('2 · Sidebar Studio'!$B$7=""))*((DATASET!$D$2:$D46='2 · Sidebar Studio'!$B$9)+('2 · Sidebar Studio'!$B$9=""))*(DATASET!$E$2:$E46&lt;&gt;"")*(DATASET!$G$2:$G46&lt;&gt;""))=0))&gt;0,DATASET!$E47,"")</f>
        <v/>
      </c>
      <c r="T47" t="str">
        <f t="shared" si="26"/>
        <v/>
      </c>
      <c r="U47" t="str">
        <f>IF(((((DATASET!$C47='2 · Sidebar Studio'!$B$7)+('2 · Sidebar Studio'!$B$7=""))*((DATASET!$D47='2 · Sidebar Studio'!$B$9)+('2 · Sidebar Studio'!$B$9=""))*((DATASET!$E47='2 · Sidebar Studio'!$B$11)+('2 · Sidebar Studio'!$B$11=""))*(DATASET!$F47&lt;&gt;"")*(DATASET!$G47&lt;&gt;""))*(SUMPRODUCT((DATASET!$F$2:$F46=DATASET!$F47)*((DATASET!$C$2:$C46='2 · Sidebar Studio'!$B$7)+('2 · Sidebar Studio'!$B$7=""))*((DATASET!$D$2:$D46='2 · Sidebar Studio'!$B$9)+('2 · Sidebar Studio'!$B$9=""))*((DATASET!$E$2:$E46='2 · Sidebar Studio'!$B$11)+('2 · Sidebar Studio'!$B$11=""))*(DATASET!$F$2:$F46&lt;&gt;"")*(DATASET!$G$2:$G46&lt;&gt;""))=0))&gt;0,DATASET!$F47,"")</f>
        <v/>
      </c>
      <c r="V47" t="str">
        <f t="shared" si="27"/>
        <v/>
      </c>
      <c r="Y47">
        <f>IF((((DATASET!$C47='3 · KPI Cards'!$B$9)+('3 · KPI Cards'!$B$9=""))*((DATASET!$D47='3 · KPI Cards'!$D$9)+('3 · KPI Cards'!$D$9=""))*((DATASET!$E47='3 · KPI Cards'!$F$9)+('3 · KPI Cards'!$F$9=""))*((DATASET!$F47='3 · KPI Cards'!$H$9)+('3 · KPI Cards'!$H$9=""))*(DATASET!$G47&lt;&gt;""))&gt;0,1,0)</f>
        <v>0</v>
      </c>
      <c r="Z47" t="str">
        <f t="shared" si="28"/>
        <v/>
      </c>
      <c r="AA47" t="str">
        <f>IF(Y47=1,DATASET!$I47,"")</f>
        <v/>
      </c>
      <c r="AB47" t="str">
        <f>IF(((((DATASET!$C47='3 · KPI Cards'!$B$9)+('3 · KPI Cards'!$B$9=""))*(DATASET!$D47&lt;&gt;"")*(DATASET!$G47&lt;&gt;""))*(SUMPRODUCT((DATASET!$D$2:$D46=DATASET!$D47)*((DATASET!$C$2:$C46='3 · KPI Cards'!$B$9)+('3 · KPI Cards'!$B$9=""))*(DATASET!$D$2:$D46&lt;&gt;"")*(DATASET!$G$2:$G46&lt;&gt;""))=0))&gt;0,DATASET!$D47,"")</f>
        <v/>
      </c>
      <c r="AC47" t="str">
        <f t="shared" si="29"/>
        <v/>
      </c>
      <c r="AD47" t="str">
        <f>IF(((((DATASET!$C47='3 · KPI Cards'!$B$9)+('3 · KPI Cards'!$B$9=""))*((DATASET!$D47='3 · KPI Cards'!$D$9)+('3 · KPI Cards'!$D$9=""))*(DATASET!$E47&lt;&gt;"")*(DATASET!$G47&lt;&gt;""))*(SUMPRODUCT((DATASET!$E$2:$E46=DATASET!$E47)*((DATASET!$C$2:$C46='3 · KPI Cards'!$B$9)+('3 · KPI Cards'!$B$9=""))*((DATASET!$D$2:$D46='3 · KPI Cards'!$D$9)+('3 · KPI Cards'!$D$9=""))*(DATASET!$E$2:$E46&lt;&gt;"")*(DATASET!$G$2:$G46&lt;&gt;""))=0))&gt;0,DATASET!$E47,"")</f>
        <v/>
      </c>
      <c r="AE47" t="str">
        <f t="shared" si="30"/>
        <v/>
      </c>
      <c r="AF47" t="str">
        <f>IF(((((DATASET!$C47='3 · KPI Cards'!$B$9)+('3 · KPI Cards'!$B$9=""))*((DATASET!$D47='3 · KPI Cards'!$D$9)+('3 · KPI Cards'!$D$9=""))*((DATASET!$E47='3 · KPI Cards'!$F$9)+('3 · KPI Cards'!$F$9=""))*(DATASET!$F47&lt;&gt;"")*(DATASET!$G47&lt;&gt;""))*(SUMPRODUCT((DATASET!$F$2:$F46=DATASET!$F47)*((DATASET!$C$2:$C46='3 · KPI Cards'!$B$9)+('3 · KPI Cards'!$B$9=""))*((DATASET!$D$2:$D46='3 · KPI Cards'!$D$9)+('3 · KPI Cards'!$D$9=""))*((DATASET!$E$2:$E46='3 · KPI Cards'!$F$9)+('3 · KPI Cards'!$F$9=""))*(DATASET!$F$2:$F46&lt;&gt;"")*(DATASET!$G$2:$G46&lt;&gt;""))=0))&gt;0,DATASET!$F47,"")</f>
        <v/>
      </c>
      <c r="AG47" t="str">
        <f t="shared" si="31"/>
        <v/>
      </c>
      <c r="AJ47">
        <f>IF((((DATASET!$C47='4 · Board Report'!$D$5)+('4 · Board Report'!$D$5=""))*((DATASET!$D47='4 · Board Report'!$D$6)+('4 · Board Report'!$D$6=""))*((DATASET!$E47='4 · Board Report'!$D$7)+('4 · Board Report'!$D$7=""))*((DATASET!$F47='4 · Board Report'!$D$8)+('4 · Board Report'!$D$8=""))*(DATASET!$G47&lt;&gt;""))&gt;0,1,0)</f>
        <v>0</v>
      </c>
      <c r="AK47" t="str">
        <f t="shared" si="32"/>
        <v/>
      </c>
      <c r="AL47" t="str">
        <f>IF(AJ47=1,DATASET!$I47,"")</f>
        <v/>
      </c>
      <c r="AM47" t="str">
        <f>IF(((((DATASET!$C47='4 · Board Report'!$D$5)+('4 · Board Report'!$D$5=""))*(DATASET!$D47&lt;&gt;"")*(DATASET!$G47&lt;&gt;""))*(SUMPRODUCT((DATASET!$D$2:$D46=DATASET!$D47)*((DATASET!$C$2:$C46='4 · Board Report'!$D$5)+('4 · Board Report'!$D$5=""))*(DATASET!$D$2:$D46&lt;&gt;"")*(DATASET!$G$2:$G46&lt;&gt;""))=0))&gt;0,DATASET!$D47,"")</f>
        <v/>
      </c>
      <c r="AN47" t="str">
        <f t="shared" si="33"/>
        <v/>
      </c>
      <c r="AO47" t="str">
        <f>IF(((((DATASET!$C47='4 · Board Report'!$D$5)+('4 · Board Report'!$D$5=""))*((DATASET!$D47='4 · Board Report'!$D$6)+('4 · Board Report'!$D$6=""))*(DATASET!$E47&lt;&gt;"")*(DATASET!$G47&lt;&gt;""))*(SUMPRODUCT((DATASET!$E$2:$E46=DATASET!$E47)*((DATASET!$C$2:$C46='4 · Board Report'!$D$5)+('4 · Board Report'!$D$5=""))*((DATASET!$D$2:$D46='4 · Board Report'!$D$6)+('4 · Board Report'!$D$6=""))*(DATASET!$E$2:$E46&lt;&gt;"")*(DATASET!$G$2:$G46&lt;&gt;""))=0))&gt;0,DATASET!$E47,"")</f>
        <v/>
      </c>
      <c r="AP47" t="str">
        <f t="shared" si="34"/>
        <v/>
      </c>
      <c r="AQ47" t="str">
        <f>IF(((((DATASET!$C47='4 · Board Report'!$D$5)+('4 · Board Report'!$D$5=""))*((DATASET!$D47='4 · Board Report'!$D$6)+('4 · Board Report'!$D$6=""))*((DATASET!$E47='4 · Board Report'!$D$7)+('4 · Board Report'!$D$7=""))*(DATASET!$F47&lt;&gt;"")*(DATASET!$G47&lt;&gt;""))*(SUMPRODUCT((DATASET!$F$2:$F46=DATASET!$F47)*((DATASET!$C$2:$C46='4 · Board Report'!$D$5)+('4 · Board Report'!$D$5=""))*((DATASET!$D$2:$D46='4 · Board Report'!$D$6)+('4 · Board Report'!$D$6=""))*((DATASET!$E$2:$E46='4 · Board Report'!$D$7)+('4 · Board Report'!$D$7=""))*(DATASET!$F$2:$F46&lt;&gt;"")*(DATASET!$G$2:$G46&lt;&gt;""))=0))&gt;0,DATASET!$F47,"")</f>
        <v/>
      </c>
      <c r="AR47" t="str">
        <f t="shared" si="35"/>
        <v/>
      </c>
      <c r="AU47">
        <f>IF((((DATASET!$C47='5 · Modern Console'!$B$4)+('5 · Modern Console'!$B$4=""))*((DATASET!$D47='5 · Modern Console'!$D$4)+('5 · Modern Console'!$D$4=""))*((DATASET!$E47='5 · Modern Console'!$F$4)+('5 · Modern Console'!$F$4=""))*((DATASET!$F47='5 · Modern Console'!$H$4)+('5 · Modern Console'!$H$4=""))*(DATASET!$G47&lt;&gt;""))&gt;0,1,0)</f>
        <v>0</v>
      </c>
      <c r="AV47" t="str">
        <f t="shared" si="36"/>
        <v/>
      </c>
      <c r="AW47" t="str">
        <f>IF(AU47=1,DATASET!$I47,"")</f>
        <v/>
      </c>
      <c r="AX47" t="str">
        <f>IF(((((DATASET!$C47='5 · Modern Console'!$B$4)+('5 · Modern Console'!$B$4=""))*(DATASET!$D47&lt;&gt;"")*(DATASET!$G47&lt;&gt;""))*(SUMPRODUCT((DATASET!$D$2:$D46=DATASET!$D47)*((DATASET!$C$2:$C46='5 · Modern Console'!$B$4)+('5 · Modern Console'!$B$4=""))*(DATASET!$D$2:$D46&lt;&gt;"")*(DATASET!$G$2:$G46&lt;&gt;""))=0))&gt;0,DATASET!$D47,"")</f>
        <v/>
      </c>
      <c r="AY47" t="str">
        <f t="shared" si="37"/>
        <v/>
      </c>
      <c r="AZ47" t="str">
        <f>IF(((((DATASET!$C47='5 · Modern Console'!$B$4)+('5 · Modern Console'!$B$4=""))*((DATASET!$D47='5 · Modern Console'!$D$4)+('5 · Modern Console'!$D$4=""))*(DATASET!$E47&lt;&gt;"")*(DATASET!$G47&lt;&gt;""))*(SUMPRODUCT((DATASET!$E$2:$E46=DATASET!$E47)*((DATASET!$C$2:$C46='5 · Modern Console'!$B$4)+('5 · Modern Console'!$B$4=""))*((DATASET!$D$2:$D46='5 · Modern Console'!$D$4)+('5 · Modern Console'!$D$4=""))*(DATASET!$E$2:$E46&lt;&gt;"")*(DATASET!$G$2:$G46&lt;&gt;""))=0))&gt;0,DATASET!$E47,"")</f>
        <v/>
      </c>
      <c r="BA47" t="str">
        <f t="shared" si="38"/>
        <v/>
      </c>
      <c r="BB47" t="str">
        <f>IF(((((DATASET!$C47='5 · Modern Console'!$B$4)+('5 · Modern Console'!$B$4=""))*((DATASET!$D47='5 · Modern Console'!$D$4)+('5 · Modern Console'!$D$4=""))*((DATASET!$E47='5 · Modern Console'!$F$4)+('5 · Modern Console'!$F$4=""))*(DATASET!$F47&lt;&gt;"")*(DATASET!$G47&lt;&gt;""))*(SUMPRODUCT((DATASET!$F$2:$F46=DATASET!$F47)*((DATASET!$C$2:$C46='5 · Modern Console'!$B$4)+('5 · Modern Console'!$B$4=""))*((DATASET!$D$2:$D46='5 · Modern Console'!$D$4)+('5 · Modern Console'!$D$4=""))*((DATASET!$E$2:$E46='5 · Modern Console'!$F$4)+('5 · Modern Console'!$F$4=""))*(DATASET!$F$2:$F46&lt;&gt;"")*(DATASET!$G$2:$G46&lt;&gt;""))=0))&gt;0,DATASET!$F47,"")</f>
        <v/>
      </c>
      <c r="BC47" t="str">
        <f t="shared" si="39"/>
        <v/>
      </c>
    </row>
    <row r="51" ht="15" customHeight="1">
      <c r="C51" t="str">
        <f>IFERROR(INDEX($F$2:$F$47,MATCH(1,$G$2:$G$47,0)),"")</f>
        <v xml:space="preserve">C.II) Crediti</v>
      </c>
      <c r="D51" t="str">
        <f>IFERROR(INDEX($H$2:$H$47,MATCH(1,$I$2:$I$47,0)),"")</f>
        <v xml:space="preserve">2) Verso imprese controllate</v>
      </c>
      <c r="E51" t="str">
        <f>IFERROR(INDEX($J$2:$J$47,MATCH(1,$K$2:$K$47,0)),"")</f>
        <v/>
      </c>
      <c r="N51" t="str">
        <f>IFERROR(INDEX($Q$2:$Q$47,MATCH(1,$R$2:$R$47,0)),"")</f>
        <v xml:space="preserve">1) Ricavi delle vendite e delle prestazioni</v>
      </c>
      <c r="O51" t="str">
        <f>IFERROR(INDEX($S$2:$S$47,MATCH(1,$T$2:$T$47,0)),"")</f>
        <v xml:space="preserve">d) Proventi diversi dai precedenti</v>
      </c>
      <c r="P51" t="str">
        <f>IFERROR(INDEX($U$2:$U$47,MATCH(1,$V$2:$V$47,0)),"")</f>
        <v/>
      </c>
      <c r="Y51" t="str">
        <f>IFERROR(INDEX($AB$2:$AB$47,MATCH(1,$AC$2:$AC$47,0)),"")</f>
        <v xml:space="preserve">1) Ricavi delle vendite e delle prestazioni</v>
      </c>
      <c r="Z51" t="str">
        <f>IFERROR(INDEX($AD$2:$AD$47,MATCH(1,$AE$2:$AE$47,0)),"")</f>
        <v xml:space="preserve">d) Proventi diversi dai precedenti</v>
      </c>
      <c r="AA51" t="str">
        <f>IFERROR(INDEX($AF$2:$AF$47,MATCH(1,$AG$2:$AG$47,0)),"")</f>
        <v/>
      </c>
      <c r="AJ51" t="str">
        <f>IFERROR(INDEX($AM$2:$AM$47,MATCH(1,$AN$2:$AN$47,0)),"")</f>
        <v xml:space="preserve">C.II) Crediti</v>
      </c>
      <c r="AK51" t="str">
        <f>IFERROR(INDEX($AO$2:$AO$47,MATCH(1,$AP$2:$AP$47,0)),"")</f>
        <v xml:space="preserve">2) Verso imprese controllate</v>
      </c>
      <c r="AL51" t="str">
        <f>IFERROR(INDEX($AQ$2:$AQ$47,MATCH(1,$AR$2:$AR$47,0)),"")</f>
        <v/>
      </c>
      <c r="AU51" t="str">
        <f>IFERROR(INDEX($AX$2:$AX$47,MATCH(1,$AY$2:$AY$47,0)),"")</f>
        <v xml:space="preserve">1) Ricavi delle vendite e delle prestazioni</v>
      </c>
      <c r="AV51" t="str">
        <f>IFERROR(INDEX($AZ$2:$AZ$47,MATCH(1,$BA$2:$BA$47,0)),"")</f>
        <v xml:space="preserve">d) Proventi diversi dai precedenti</v>
      </c>
      <c r="AW51" t="str">
        <f>IFERROR(INDEX($BB$2:$BB$47,MATCH(1,$BC$2:$BC$47,0)),"")</f>
        <v/>
      </c>
    </row>
    <row r="52" ht="15" customHeight="1">
      <c r="C52" t="str">
        <f>IFERROR(INDEX($F$2:$F$47,MATCH(2,$G$2:$G$47,0)),"")</f>
        <v xml:space="preserve">C.IV) Disponibilità liquide</v>
      </c>
      <c r="D52" t="str">
        <f>IFERROR(INDEX($H$2:$H$47,MATCH(2,$I$2:$I$47,0)),"")</f>
        <v xml:space="preserve">3) Verso imprese collegate</v>
      </c>
      <c r="E52" t="str">
        <f>IFERROR(INDEX($J$2:$J$47,MATCH(2,$K$2:$K$47,0)),"")</f>
        <v/>
      </c>
      <c r="N52" t="str">
        <f>IFERROR(INDEX($Q$2:$Q$47,MATCH(2,$R$2:$R$47,0)),"")</f>
        <v xml:space="preserve">5) Altri ricavi e proventi</v>
      </c>
      <c r="O52" t="str">
        <f>IFERROR(INDEX($S$2:$S$47,MATCH(2,$T$2:$T$47,0)),"")</f>
        <v xml:space="preserve">2) Verso imprese controllate</v>
      </c>
      <c r="P52" t="str">
        <f>IFERROR(INDEX($U$2:$U$47,MATCH(2,$V$2:$V$47,0)),"")</f>
        <v/>
      </c>
      <c r="Y52" t="str">
        <f>IFERROR(INDEX($AB$2:$AB$47,MATCH(2,$AC$2:$AC$47,0)),"")</f>
        <v xml:space="preserve">5) Altri ricavi e proventi</v>
      </c>
      <c r="Z52" t="str">
        <f>IFERROR(INDEX($AD$2:$AD$47,MATCH(2,$AE$2:$AE$47,0)),"")</f>
        <v xml:space="preserve">2) Verso imprese controllate</v>
      </c>
      <c r="AA52" t="str">
        <f>IFERROR(INDEX($AF$2:$AF$47,MATCH(2,$AG$2:$AG$47,0)),"")</f>
        <v/>
      </c>
      <c r="AJ52" t="str">
        <f>IFERROR(INDEX($AM$2:$AM$47,MATCH(2,$AN$2:$AN$47,0)),"")</f>
        <v xml:space="preserve">C.IV) Disponibilità liquide</v>
      </c>
      <c r="AK52" t="str">
        <f>IFERROR(INDEX($AO$2:$AO$47,MATCH(2,$AP$2:$AP$47,0)),"")</f>
        <v xml:space="preserve">3) Verso imprese collegate</v>
      </c>
      <c r="AL52" t="str">
        <f>IFERROR(INDEX($AQ$2:$AQ$47,MATCH(2,$AR$2:$AR$47,0)),"")</f>
        <v/>
      </c>
      <c r="AU52" t="str">
        <f>IFERROR(INDEX($AX$2:$AX$47,MATCH(2,$AY$2:$AY$47,0)),"")</f>
        <v xml:space="preserve">5) Altri ricavi e proventi</v>
      </c>
      <c r="AV52" t="str">
        <f>IFERROR(INDEX($AZ$2:$AZ$47,MATCH(2,$BA$2:$BA$47,0)),"")</f>
        <v xml:space="preserve">2) Verso imprese controllate</v>
      </c>
      <c r="AW52" t="str">
        <f>IFERROR(INDEX($BB$2:$BB$47,MATCH(2,$BC$2:$BC$47,0)),"")</f>
        <v/>
      </c>
    </row>
    <row r="53" ht="15" customHeight="1">
      <c r="C53" t="str">
        <f>IFERROR(INDEX($F$2:$F$47,MATCH(3,$G$2:$G$47,0)),"")</f>
        <v/>
      </c>
      <c r="D53" t="str">
        <f>IFERROR(INDEX($H$2:$H$47,MATCH(3,$I$2:$I$47,0)),"")</f>
        <v xml:space="preserve">5-bis) Crediti tributari</v>
      </c>
      <c r="E53" t="str">
        <f>IFERROR(INDEX($J$2:$J$47,MATCH(3,$K$2:$K$47,0)),"")</f>
        <v/>
      </c>
      <c r="N53" t="str">
        <f>IFERROR(INDEX($Q$2:$Q$47,MATCH(3,$R$2:$R$47,0)),"")</f>
        <v xml:space="preserve">7) Per servizi</v>
      </c>
      <c r="O53" t="str">
        <f>IFERROR(INDEX($S$2:$S$47,MATCH(3,$T$2:$T$47,0)),"")</f>
        <v xml:space="preserve">3) Verso imprese collegate</v>
      </c>
      <c r="P53" t="str">
        <f>IFERROR(INDEX($U$2:$U$47,MATCH(3,$V$2:$V$47,0)),"")</f>
        <v/>
      </c>
      <c r="Y53" t="str">
        <f>IFERROR(INDEX($AB$2:$AB$47,MATCH(3,$AC$2:$AC$47,0)),"")</f>
        <v xml:space="preserve">7) Per servizi</v>
      </c>
      <c r="Z53" t="str">
        <f>IFERROR(INDEX($AD$2:$AD$47,MATCH(3,$AE$2:$AE$47,0)),"")</f>
        <v xml:space="preserve">3) Verso imprese collegate</v>
      </c>
      <c r="AA53" t="str">
        <f>IFERROR(INDEX($AF$2:$AF$47,MATCH(3,$AG$2:$AG$47,0)),"")</f>
        <v/>
      </c>
      <c r="AJ53" t="str">
        <f>IFERROR(INDEX($AM$2:$AM$47,MATCH(3,$AN$2:$AN$47,0)),"")</f>
        <v/>
      </c>
      <c r="AK53" t="str">
        <f>IFERROR(INDEX($AO$2:$AO$47,MATCH(3,$AP$2:$AP$47,0)),"")</f>
        <v xml:space="preserve">5-bis) Crediti tributari</v>
      </c>
      <c r="AL53" t="str">
        <f>IFERROR(INDEX($AQ$2:$AQ$47,MATCH(3,$AR$2:$AR$47,0)),"")</f>
        <v/>
      </c>
      <c r="AU53" t="str">
        <f>IFERROR(INDEX($AX$2:$AX$47,MATCH(3,$AY$2:$AY$47,0)),"")</f>
        <v xml:space="preserve">7) Per servizi</v>
      </c>
      <c r="AV53" t="str">
        <f>IFERROR(INDEX($AZ$2:$AZ$47,MATCH(3,$BA$2:$BA$47,0)),"")</f>
        <v xml:space="preserve">3) Verso imprese collegate</v>
      </c>
      <c r="AW53" t="str">
        <f>IFERROR(INDEX($BB$2:$BB$47,MATCH(3,$BC$2:$BC$47,0)),"")</f>
        <v/>
      </c>
    </row>
    <row r="54" ht="15" customHeight="1">
      <c r="C54" t="str">
        <f>IFERROR(INDEX($F$2:$F$47,MATCH(4,$G$2:$G$47,0)),"")</f>
        <v/>
      </c>
      <c r="D54" t="str">
        <f>IFERROR(INDEX($H$2:$H$47,MATCH(4,$I$2:$I$47,0)),"")</f>
        <v xml:space="preserve">5-ter) Imposte anticipate</v>
      </c>
      <c r="E54" t="str">
        <f>IFERROR(INDEX($J$2:$J$47,MATCH(4,$K$2:$K$47,0)),"")</f>
        <v/>
      </c>
      <c r="N54" t="str">
        <f>IFERROR(INDEX($Q$2:$Q$47,MATCH(4,$R$2:$R$47,0)),"")</f>
        <v xml:space="preserve">14) Oneri diversi di gestione</v>
      </c>
      <c r="O54" t="str">
        <f>IFERROR(INDEX($S$2:$S$47,MATCH(4,$T$2:$T$47,0)),"")</f>
        <v xml:space="preserve">5-bis) Crediti tributari</v>
      </c>
      <c r="P54" t="str">
        <f>IFERROR(INDEX($U$2:$U$47,MATCH(4,$V$2:$V$47,0)),"")</f>
        <v/>
      </c>
      <c r="Y54" t="str">
        <f>IFERROR(INDEX($AB$2:$AB$47,MATCH(4,$AC$2:$AC$47,0)),"")</f>
        <v xml:space="preserve">14) Oneri diversi di gestione</v>
      </c>
      <c r="Z54" t="str">
        <f>IFERROR(INDEX($AD$2:$AD$47,MATCH(4,$AE$2:$AE$47,0)),"")</f>
        <v xml:space="preserve">5-bis) Crediti tributari</v>
      </c>
      <c r="AA54" t="str">
        <f>IFERROR(INDEX($AF$2:$AF$47,MATCH(4,$AG$2:$AG$47,0)),"")</f>
        <v/>
      </c>
      <c r="AJ54" t="str">
        <f>IFERROR(INDEX($AM$2:$AM$47,MATCH(4,$AN$2:$AN$47,0)),"")</f>
        <v/>
      </c>
      <c r="AK54" t="str">
        <f>IFERROR(INDEX($AO$2:$AO$47,MATCH(4,$AP$2:$AP$47,0)),"")</f>
        <v xml:space="preserve">5-ter) Imposte anticipate</v>
      </c>
      <c r="AL54" t="str">
        <f>IFERROR(INDEX($AQ$2:$AQ$47,MATCH(4,$AR$2:$AR$47,0)),"")</f>
        <v/>
      </c>
      <c r="AU54" t="str">
        <f>IFERROR(INDEX($AX$2:$AX$47,MATCH(4,$AY$2:$AY$47,0)),"")</f>
        <v xml:space="preserve">14) Oneri diversi di gestione</v>
      </c>
      <c r="AV54" t="str">
        <f>IFERROR(INDEX($AZ$2:$AZ$47,MATCH(4,$BA$2:$BA$47,0)),"")</f>
        <v xml:space="preserve">5-bis) Crediti tributari</v>
      </c>
      <c r="AW54" t="str">
        <f>IFERROR(INDEX($BB$2:$BB$47,MATCH(4,$BC$2:$BC$47,0)),"")</f>
        <v/>
      </c>
    </row>
    <row r="55" ht="15" customHeight="1">
      <c r="C55" t="str">
        <f>IFERROR(INDEX($F$2:$F$47,MATCH(5,$G$2:$G$47,0)),"")</f>
        <v/>
      </c>
      <c r="D55" t="str">
        <f>IFERROR(INDEX($H$2:$H$47,MATCH(5,$I$2:$I$47,0)),"")</f>
        <v xml:space="preserve">1) Depositi bancari e postali</v>
      </c>
      <c r="E55" t="str">
        <f>IFERROR(INDEX($J$2:$J$47,MATCH(5,$K$2:$K$47,0)),"")</f>
        <v/>
      </c>
      <c r="N55" t="str">
        <f>IFERROR(INDEX($Q$2:$Q$47,MATCH(5,$R$2:$R$47,0)),"")</f>
        <v xml:space="preserve">16) Altri proventi finanziari</v>
      </c>
      <c r="O55" t="str">
        <f>IFERROR(INDEX($S$2:$S$47,MATCH(5,$T$2:$T$47,0)),"")</f>
        <v xml:space="preserve">5-ter) Imposte anticipate</v>
      </c>
      <c r="P55" t="str">
        <f>IFERROR(INDEX($U$2:$U$47,MATCH(5,$V$2:$V$47,0)),"")</f>
        <v/>
      </c>
      <c r="Y55" t="str">
        <f>IFERROR(INDEX($AB$2:$AB$47,MATCH(5,$AC$2:$AC$47,0)),"")</f>
        <v xml:space="preserve">16) Altri proventi finanziari</v>
      </c>
      <c r="Z55" t="str">
        <f>IFERROR(INDEX($AD$2:$AD$47,MATCH(5,$AE$2:$AE$47,0)),"")</f>
        <v xml:space="preserve">5-ter) Imposte anticipate</v>
      </c>
      <c r="AA55" t="str">
        <f>IFERROR(INDEX($AF$2:$AF$47,MATCH(5,$AG$2:$AG$47,0)),"")</f>
        <v/>
      </c>
      <c r="AJ55" t="str">
        <f>IFERROR(INDEX($AM$2:$AM$47,MATCH(5,$AN$2:$AN$47,0)),"")</f>
        <v/>
      </c>
      <c r="AK55" t="str">
        <f>IFERROR(INDEX($AO$2:$AO$47,MATCH(5,$AP$2:$AP$47,0)),"")</f>
        <v xml:space="preserve">1) Depositi bancari e postali</v>
      </c>
      <c r="AL55" t="str">
        <f>IFERROR(INDEX($AQ$2:$AQ$47,MATCH(5,$AR$2:$AR$47,0)),"")</f>
        <v/>
      </c>
      <c r="AU55" t="str">
        <f>IFERROR(INDEX($AX$2:$AX$47,MATCH(5,$AY$2:$AY$47,0)),"")</f>
        <v xml:space="preserve">16) Altri proventi finanziari</v>
      </c>
      <c r="AV55" t="str">
        <f>IFERROR(INDEX($AZ$2:$AZ$47,MATCH(5,$BA$2:$BA$47,0)),"")</f>
        <v xml:space="preserve">5-ter) Imposte anticipate</v>
      </c>
      <c r="AW55" t="str">
        <f>IFERROR(INDEX($BB$2:$BB$47,MATCH(5,$BC$2:$BC$47,0)),"")</f>
        <v/>
      </c>
    </row>
    <row r="56" ht="15" customHeight="1">
      <c r="C56" t="str">
        <f>IFERROR(INDEX($F$2:$F$47,MATCH(6,$G$2:$G$47,0)),"")</f>
        <v/>
      </c>
      <c r="D56" t="str">
        <f>IFERROR(INDEX($H$2:$H$47,MATCH(6,$I$2:$I$47,0)),"")</f>
        <v/>
      </c>
      <c r="E56" t="str">
        <f>IFERROR(INDEX($J$2:$J$47,MATCH(6,$K$2:$K$47,0)),"")</f>
        <v/>
      </c>
      <c r="N56" t="str">
        <f>IFERROR(INDEX($Q$2:$Q$47,MATCH(6,$R$2:$R$47,0)),"")</f>
        <v xml:space="preserve">17) Interessi e altri oneri finanziari</v>
      </c>
      <c r="O56" t="str">
        <f>IFERROR(INDEX($S$2:$S$47,MATCH(6,$T$2:$T$47,0)),"")</f>
        <v xml:space="preserve">1) Depositi bancari e postali</v>
      </c>
      <c r="P56" t="str">
        <f>IFERROR(INDEX($U$2:$U$47,MATCH(6,$V$2:$V$47,0)),"")</f>
        <v/>
      </c>
      <c r="Y56" t="str">
        <f>IFERROR(INDEX($AB$2:$AB$47,MATCH(6,$AC$2:$AC$47,0)),"")</f>
        <v xml:space="preserve">17) Interessi e altri oneri finanziari</v>
      </c>
      <c r="Z56" t="str">
        <f>IFERROR(INDEX($AD$2:$AD$47,MATCH(6,$AE$2:$AE$47,0)),"")</f>
        <v xml:space="preserve">1) Depositi bancari e postali</v>
      </c>
      <c r="AA56" t="str">
        <f>IFERROR(INDEX($AF$2:$AF$47,MATCH(6,$AG$2:$AG$47,0)),"")</f>
        <v/>
      </c>
      <c r="AJ56" t="str">
        <f>IFERROR(INDEX($AM$2:$AM$47,MATCH(6,$AN$2:$AN$47,0)),"")</f>
        <v/>
      </c>
      <c r="AK56" t="str">
        <f>IFERROR(INDEX($AO$2:$AO$47,MATCH(6,$AP$2:$AP$47,0)),"")</f>
        <v/>
      </c>
      <c r="AL56" t="str">
        <f>IFERROR(INDEX($AQ$2:$AQ$47,MATCH(6,$AR$2:$AR$47,0)),"")</f>
        <v/>
      </c>
      <c r="AU56" t="str">
        <f>IFERROR(INDEX($AX$2:$AX$47,MATCH(6,$AY$2:$AY$47,0)),"")</f>
        <v xml:space="preserve">17) Interessi e altri oneri finanziari</v>
      </c>
      <c r="AV56" t="str">
        <f>IFERROR(INDEX($AZ$2:$AZ$47,MATCH(6,$BA$2:$BA$47,0)),"")</f>
        <v xml:space="preserve">1) Depositi bancari e postali</v>
      </c>
      <c r="AW56" t="str">
        <f>IFERROR(INDEX($BB$2:$BB$47,MATCH(6,$BC$2:$BC$47,0)),"")</f>
        <v/>
      </c>
    </row>
    <row r="57" ht="15" customHeight="1">
      <c r="C57" t="str">
        <f>IFERROR(INDEX($F$2:$F$47,MATCH(7,$G$2:$G$47,0)),"")</f>
        <v/>
      </c>
      <c r="D57" t="str">
        <f>IFERROR(INDEX($H$2:$H$47,MATCH(7,$I$2:$I$47,0)),"")</f>
        <v/>
      </c>
      <c r="E57" t="str">
        <f>IFERROR(INDEX($J$2:$J$47,MATCH(7,$K$2:$K$47,0)),"")</f>
        <v/>
      </c>
      <c r="N57" t="str">
        <f>IFERROR(INDEX($Q$2:$Q$47,MATCH(7,$R$2:$R$47,0)),"")</f>
        <v xml:space="preserve">c) Imposte differite e anticipate</v>
      </c>
      <c r="O57" t="str">
        <f>IFERROR(INDEX($S$2:$S$47,MATCH(7,$T$2:$T$47,0)),"")</f>
        <v/>
      </c>
      <c r="P57" t="str">
        <f>IFERROR(INDEX($U$2:$U$47,MATCH(7,$V$2:$V$47,0)),"")</f>
        <v/>
      </c>
      <c r="Y57" t="str">
        <f>IFERROR(INDEX($AB$2:$AB$47,MATCH(7,$AC$2:$AC$47,0)),"")</f>
        <v xml:space="preserve">c) Imposte differite e anticipate</v>
      </c>
      <c r="Z57" t="str">
        <f>IFERROR(INDEX($AD$2:$AD$47,MATCH(7,$AE$2:$AE$47,0)),"")</f>
        <v/>
      </c>
      <c r="AA57" t="str">
        <f>IFERROR(INDEX($AF$2:$AF$47,MATCH(7,$AG$2:$AG$47,0)),"")</f>
        <v/>
      </c>
      <c r="AJ57" t="str">
        <f>IFERROR(INDEX($AM$2:$AM$47,MATCH(7,$AN$2:$AN$47,0)),"")</f>
        <v/>
      </c>
      <c r="AK57" t="str">
        <f>IFERROR(INDEX($AO$2:$AO$47,MATCH(7,$AP$2:$AP$47,0)),"")</f>
        <v/>
      </c>
      <c r="AL57" t="str">
        <f>IFERROR(INDEX($AQ$2:$AQ$47,MATCH(7,$AR$2:$AR$47,0)),"")</f>
        <v/>
      </c>
      <c r="AU57" t="str">
        <f>IFERROR(INDEX($AX$2:$AX$47,MATCH(7,$AY$2:$AY$47,0)),"")</f>
        <v xml:space="preserve">c) Imposte differite e anticipate</v>
      </c>
      <c r="AV57" t="str">
        <f>IFERROR(INDEX($AZ$2:$AZ$47,MATCH(7,$BA$2:$BA$47,0)),"")</f>
        <v/>
      </c>
      <c r="AW57" t="str">
        <f>IFERROR(INDEX($BB$2:$BB$47,MATCH(7,$BC$2:$BC$47,0)),"")</f>
        <v/>
      </c>
    </row>
    <row r="58" ht="15" customHeight="1">
      <c r="C58" t="str">
        <f>IFERROR(INDEX($F$2:$F$47,MATCH(8,$G$2:$G$47,0)),"")</f>
        <v/>
      </c>
      <c r="D58" t="str">
        <f>IFERROR(INDEX($H$2:$H$47,MATCH(8,$I$2:$I$47,0)),"")</f>
        <v/>
      </c>
      <c r="E58" t="str">
        <f>IFERROR(INDEX($J$2:$J$47,MATCH(8,$K$2:$K$47,0)),"")</f>
        <v/>
      </c>
      <c r="N58" t="str">
        <f>IFERROR(INDEX($Q$2:$Q$47,MATCH(8,$R$2:$R$47,0)),"")</f>
        <v xml:space="preserve">C.II) Crediti</v>
      </c>
      <c r="O58" t="str">
        <f>IFERROR(INDEX($S$2:$S$47,MATCH(8,$T$2:$T$47,0)),"")</f>
        <v/>
      </c>
      <c r="P58" t="str">
        <f>IFERROR(INDEX($U$2:$U$47,MATCH(8,$V$2:$V$47,0)),"")</f>
        <v/>
      </c>
      <c r="Y58" t="str">
        <f>IFERROR(INDEX($AB$2:$AB$47,MATCH(8,$AC$2:$AC$47,0)),"")</f>
        <v xml:space="preserve">C.II) Crediti</v>
      </c>
      <c r="Z58" t="str">
        <f>IFERROR(INDEX($AD$2:$AD$47,MATCH(8,$AE$2:$AE$47,0)),"")</f>
        <v/>
      </c>
      <c r="AA58" t="str">
        <f>IFERROR(INDEX($AF$2:$AF$47,MATCH(8,$AG$2:$AG$47,0)),"")</f>
        <v/>
      </c>
      <c r="AJ58" t="str">
        <f>IFERROR(INDEX($AM$2:$AM$47,MATCH(8,$AN$2:$AN$47,0)),"")</f>
        <v/>
      </c>
      <c r="AK58" t="str">
        <f>IFERROR(INDEX($AO$2:$AO$47,MATCH(8,$AP$2:$AP$47,0)),"")</f>
        <v/>
      </c>
      <c r="AL58" t="str">
        <f>IFERROR(INDEX($AQ$2:$AQ$47,MATCH(8,$AR$2:$AR$47,0)),"")</f>
        <v/>
      </c>
      <c r="AU58" t="str">
        <f>IFERROR(INDEX($AX$2:$AX$47,MATCH(8,$AY$2:$AY$47,0)),"")</f>
        <v xml:space="preserve">C.II) Crediti</v>
      </c>
      <c r="AV58" t="str">
        <f>IFERROR(INDEX($AZ$2:$AZ$47,MATCH(8,$BA$2:$BA$47,0)),"")</f>
        <v/>
      </c>
      <c r="AW58" t="str">
        <f>IFERROR(INDEX($BB$2:$BB$47,MATCH(8,$BC$2:$BC$47,0)),"")</f>
        <v/>
      </c>
    </row>
    <row r="59" ht="15" customHeight="1">
      <c r="C59" t="str">
        <f>IFERROR(INDEX($F$2:$F$47,MATCH(9,$G$2:$G$47,0)),"")</f>
        <v/>
      </c>
      <c r="D59" t="str">
        <f>IFERROR(INDEX($H$2:$H$47,MATCH(9,$I$2:$I$47,0)),"")</f>
        <v/>
      </c>
      <c r="E59" t="str">
        <f>IFERROR(INDEX($J$2:$J$47,MATCH(9,$K$2:$K$47,0)),"")</f>
        <v/>
      </c>
      <c r="N59" t="str">
        <f>IFERROR(INDEX($Q$2:$Q$47,MATCH(9,$R$2:$R$47,0)),"")</f>
        <v xml:space="preserve">C.IV) Disponibilità liquide</v>
      </c>
      <c r="O59" t="str">
        <f>IFERROR(INDEX($S$2:$S$47,MATCH(9,$T$2:$T$47,0)),"")</f>
        <v/>
      </c>
      <c r="P59" t="str">
        <f>IFERROR(INDEX($U$2:$U$47,MATCH(9,$V$2:$V$47,0)),"")</f>
        <v/>
      </c>
      <c r="Y59" t="str">
        <f>IFERROR(INDEX($AB$2:$AB$47,MATCH(9,$AC$2:$AC$47,0)),"")</f>
        <v xml:space="preserve">C.IV) Disponibilità liquide</v>
      </c>
      <c r="Z59" t="str">
        <f>IFERROR(INDEX($AD$2:$AD$47,MATCH(9,$AE$2:$AE$47,0)),"")</f>
        <v/>
      </c>
      <c r="AA59" t="str">
        <f>IFERROR(INDEX($AF$2:$AF$47,MATCH(9,$AG$2:$AG$47,0)),"")</f>
        <v/>
      </c>
      <c r="AJ59" t="str">
        <f>IFERROR(INDEX($AM$2:$AM$47,MATCH(9,$AN$2:$AN$47,0)),"")</f>
        <v/>
      </c>
      <c r="AK59" t="str">
        <f>IFERROR(INDEX($AO$2:$AO$47,MATCH(9,$AP$2:$AP$47,0)),"")</f>
        <v/>
      </c>
      <c r="AL59" t="str">
        <f>IFERROR(INDEX($AQ$2:$AQ$47,MATCH(9,$AR$2:$AR$47,0)),"")</f>
        <v/>
      </c>
      <c r="AU59" t="str">
        <f>IFERROR(INDEX($AX$2:$AX$47,MATCH(9,$AY$2:$AY$47,0)),"")</f>
        <v xml:space="preserve">C.IV) Disponibilità liquide</v>
      </c>
      <c r="AV59" t="str">
        <f>IFERROR(INDEX($AZ$2:$AZ$47,MATCH(9,$BA$2:$BA$47,0)),"")</f>
        <v/>
      </c>
      <c r="AW59" t="str">
        <f>IFERROR(INDEX($BB$2:$BB$47,MATCH(9,$BC$2:$BC$47,0)),"")</f>
        <v/>
      </c>
    </row>
    <row r="60" ht="15" customHeight="1">
      <c r="C60" t="str">
        <f>IFERROR(INDEX($F$2:$F$47,MATCH(10,$G$2:$G$47,0)),"")</f>
        <v/>
      </c>
      <c r="D60" t="str">
        <f>IFERROR(INDEX($H$2:$H$47,MATCH(10,$I$2:$I$47,0)),"")</f>
        <v/>
      </c>
      <c r="E60" t="str">
        <f>IFERROR(INDEX($J$2:$J$47,MATCH(10,$K$2:$K$47,0)),"")</f>
        <v/>
      </c>
      <c r="N60" t="str">
        <f>IFERROR(INDEX($Q$2:$Q$47,MATCH(10,$R$2:$R$47,0)),"")</f>
        <v xml:space="preserve">A.I) Capitale sociale</v>
      </c>
      <c r="O60" t="str">
        <f>IFERROR(INDEX($S$2:$S$47,MATCH(10,$T$2:$T$47,0)),"")</f>
        <v/>
      </c>
      <c r="P60" t="str">
        <f>IFERROR(INDEX($U$2:$U$47,MATCH(10,$V$2:$V$47,0)),"")</f>
        <v/>
      </c>
      <c r="Y60" t="str">
        <f>IFERROR(INDEX($AB$2:$AB$47,MATCH(10,$AC$2:$AC$47,0)),"")</f>
        <v xml:space="preserve">A.I) Capitale sociale</v>
      </c>
      <c r="Z60" t="str">
        <f>IFERROR(INDEX($AD$2:$AD$47,MATCH(10,$AE$2:$AE$47,0)),"")</f>
        <v/>
      </c>
      <c r="AA60" t="str">
        <f>IFERROR(INDEX($AF$2:$AF$47,MATCH(10,$AG$2:$AG$47,0)),"")</f>
        <v/>
      </c>
      <c r="AJ60" t="str">
        <f>IFERROR(INDEX($AM$2:$AM$47,MATCH(10,$AN$2:$AN$47,0)),"")</f>
        <v/>
      </c>
      <c r="AK60" t="str">
        <f>IFERROR(INDEX($AO$2:$AO$47,MATCH(10,$AP$2:$AP$47,0)),"")</f>
        <v/>
      </c>
      <c r="AL60" t="str">
        <f>IFERROR(INDEX($AQ$2:$AQ$47,MATCH(10,$AR$2:$AR$47,0)),"")</f>
        <v/>
      </c>
      <c r="AU60" t="str">
        <f>IFERROR(INDEX($AX$2:$AX$47,MATCH(10,$AY$2:$AY$47,0)),"")</f>
        <v xml:space="preserve">A.I) Capitale sociale</v>
      </c>
      <c r="AV60" t="str">
        <f>IFERROR(INDEX($AZ$2:$AZ$47,MATCH(10,$BA$2:$BA$47,0)),"")</f>
        <v/>
      </c>
      <c r="AW60" t="str">
        <f>IFERROR(INDEX($BB$2:$BB$47,MATCH(10,$BC$2:$BC$47,0)),"")</f>
        <v/>
      </c>
    </row>
    <row r="61" ht="15" customHeight="1">
      <c r="C61" t="str">
        <f>IFERROR(INDEX($F$2:$F$47,MATCH(11,$G$2:$G$47,0)),"")</f>
        <v/>
      </c>
      <c r="D61" t="str">
        <f>IFERROR(INDEX($H$2:$H$47,MATCH(11,$I$2:$I$47,0)),"")</f>
        <v/>
      </c>
      <c r="E61" t="str">
        <f>IFERROR(INDEX($J$2:$J$47,MATCH(11,$K$2:$K$47,0)),"")</f>
        <v/>
      </c>
      <c r="N61" t="str">
        <f>IFERROR(INDEX($Q$2:$Q$47,MATCH(11,$R$2:$R$47,0)),"")</f>
        <v xml:space="preserve">A.IV) Riserva legale</v>
      </c>
      <c r="O61" t="str">
        <f>IFERROR(INDEX($S$2:$S$47,MATCH(11,$T$2:$T$47,0)),"")</f>
        <v/>
      </c>
      <c r="P61" t="str">
        <f>IFERROR(INDEX($U$2:$U$47,MATCH(11,$V$2:$V$47,0)),"")</f>
        <v/>
      </c>
      <c r="Y61" t="str">
        <f>IFERROR(INDEX($AB$2:$AB$47,MATCH(11,$AC$2:$AC$47,0)),"")</f>
        <v xml:space="preserve">A.IV) Riserva legale</v>
      </c>
      <c r="Z61" t="str">
        <f>IFERROR(INDEX($AD$2:$AD$47,MATCH(11,$AE$2:$AE$47,0)),"")</f>
        <v/>
      </c>
      <c r="AA61" t="str">
        <f>IFERROR(INDEX($AF$2:$AF$47,MATCH(11,$AG$2:$AG$47,0)),"")</f>
        <v/>
      </c>
      <c r="AJ61" t="str">
        <f>IFERROR(INDEX($AM$2:$AM$47,MATCH(11,$AN$2:$AN$47,0)),"")</f>
        <v/>
      </c>
      <c r="AK61" t="str">
        <f>IFERROR(INDEX($AO$2:$AO$47,MATCH(11,$AP$2:$AP$47,0)),"")</f>
        <v/>
      </c>
      <c r="AL61" t="str">
        <f>IFERROR(INDEX($AQ$2:$AQ$47,MATCH(11,$AR$2:$AR$47,0)),"")</f>
        <v/>
      </c>
      <c r="AU61" t="str">
        <f>IFERROR(INDEX($AX$2:$AX$47,MATCH(11,$AY$2:$AY$47,0)),"")</f>
        <v xml:space="preserve">A.IV) Riserva legale</v>
      </c>
      <c r="AV61" t="str">
        <f>IFERROR(INDEX($AZ$2:$AZ$47,MATCH(11,$BA$2:$BA$47,0)),"")</f>
        <v/>
      </c>
      <c r="AW61" t="str">
        <f>IFERROR(INDEX($BB$2:$BB$47,MATCH(11,$BC$2:$BC$47,0)),"")</f>
        <v/>
      </c>
    </row>
    <row r="62" ht="15" customHeight="1">
      <c r="C62" t="str">
        <f>IFERROR(INDEX($F$2:$F$47,MATCH(12,$G$2:$G$47,0)),"")</f>
        <v/>
      </c>
      <c r="D62" t="str">
        <f>IFERROR(INDEX($H$2:$H$47,MATCH(12,$I$2:$I$47,0)),"")</f>
        <v/>
      </c>
      <c r="E62" t="str">
        <f>IFERROR(INDEX($J$2:$J$47,MATCH(12,$K$2:$K$47,0)),"")</f>
        <v/>
      </c>
      <c r="N62" t="str">
        <f>IFERROR(INDEX($Q$2:$Q$47,MATCH(12,$R$2:$R$47,0)),"")</f>
        <v xml:space="preserve">A.VI) Altre riserve, distintamente indicate</v>
      </c>
      <c r="O62" t="str">
        <f>IFERROR(INDEX($S$2:$S$47,MATCH(12,$T$2:$T$47,0)),"")</f>
        <v/>
      </c>
      <c r="P62" t="str">
        <f>IFERROR(INDEX($U$2:$U$47,MATCH(12,$V$2:$V$47,0)),"")</f>
        <v/>
      </c>
      <c r="Y62" t="str">
        <f>IFERROR(INDEX($AB$2:$AB$47,MATCH(12,$AC$2:$AC$47,0)),"")</f>
        <v xml:space="preserve">A.VI) Altre riserve, distintamente indicate</v>
      </c>
      <c r="Z62" t="str">
        <f>IFERROR(INDEX($AD$2:$AD$47,MATCH(12,$AE$2:$AE$47,0)),"")</f>
        <v/>
      </c>
      <c r="AA62" t="str">
        <f>IFERROR(INDEX($AF$2:$AF$47,MATCH(12,$AG$2:$AG$47,0)),"")</f>
        <v/>
      </c>
      <c r="AJ62" t="str">
        <f>IFERROR(INDEX($AM$2:$AM$47,MATCH(12,$AN$2:$AN$47,0)),"")</f>
        <v/>
      </c>
      <c r="AK62" t="str">
        <f>IFERROR(INDEX($AO$2:$AO$47,MATCH(12,$AP$2:$AP$47,0)),"")</f>
        <v/>
      </c>
      <c r="AL62" t="str">
        <f>IFERROR(INDEX($AQ$2:$AQ$47,MATCH(12,$AR$2:$AR$47,0)),"")</f>
        <v/>
      </c>
      <c r="AU62" t="str">
        <f>IFERROR(INDEX($AX$2:$AX$47,MATCH(12,$AY$2:$AY$47,0)),"")</f>
        <v xml:space="preserve">A.VI) Altre riserve, distintamente indicate</v>
      </c>
      <c r="AV62" t="str">
        <f>IFERROR(INDEX($AZ$2:$AZ$47,MATCH(12,$BA$2:$BA$47,0)),"")</f>
        <v/>
      </c>
      <c r="AW62" t="str">
        <f>IFERROR(INDEX($BB$2:$BB$47,MATCH(12,$BC$2:$BC$47,0)),"")</f>
        <v/>
      </c>
    </row>
    <row r="63" ht="15" customHeight="1">
      <c r="C63" t="str">
        <f>IFERROR(INDEX($F$2:$F$47,MATCH(13,$G$2:$G$47,0)),"")</f>
        <v/>
      </c>
      <c r="D63" t="str">
        <f>IFERROR(INDEX($H$2:$H$47,MATCH(13,$I$2:$I$47,0)),"")</f>
        <v/>
      </c>
      <c r="E63" t="str">
        <f>IFERROR(INDEX($J$2:$J$47,MATCH(13,$K$2:$K$47,0)),"")</f>
        <v/>
      </c>
      <c r="N63" t="str">
        <f>IFERROR(INDEX($Q$2:$Q$47,MATCH(13,$R$2:$R$47,0)),"")</f>
        <v xml:space="preserve">A.VIII) Utili (perdite) portati a nuovo</v>
      </c>
      <c r="O63" t="str">
        <f>IFERROR(INDEX($S$2:$S$47,MATCH(13,$T$2:$T$47,0)),"")</f>
        <v/>
      </c>
      <c r="P63" t="str">
        <f>IFERROR(INDEX($U$2:$U$47,MATCH(13,$V$2:$V$47,0)),"")</f>
        <v/>
      </c>
      <c r="Y63" t="str">
        <f>IFERROR(INDEX($AB$2:$AB$47,MATCH(13,$AC$2:$AC$47,0)),"")</f>
        <v xml:space="preserve">A.VIII) Utili (perdite) portati a nuovo</v>
      </c>
      <c r="Z63" t="str">
        <f>IFERROR(INDEX($AD$2:$AD$47,MATCH(13,$AE$2:$AE$47,0)),"")</f>
        <v/>
      </c>
      <c r="AA63" t="str">
        <f>IFERROR(INDEX($AF$2:$AF$47,MATCH(13,$AG$2:$AG$47,0)),"")</f>
        <v/>
      </c>
      <c r="AJ63" t="str">
        <f>IFERROR(INDEX($AM$2:$AM$47,MATCH(13,$AN$2:$AN$47,0)),"")</f>
        <v/>
      </c>
      <c r="AK63" t="str">
        <f>IFERROR(INDEX($AO$2:$AO$47,MATCH(13,$AP$2:$AP$47,0)),"")</f>
        <v/>
      </c>
      <c r="AL63" t="str">
        <f>IFERROR(INDEX($AQ$2:$AQ$47,MATCH(13,$AR$2:$AR$47,0)),"")</f>
        <v/>
      </c>
      <c r="AU63" t="str">
        <f>IFERROR(INDEX($AX$2:$AX$47,MATCH(13,$AY$2:$AY$47,0)),"")</f>
        <v xml:space="preserve">A.VIII) Utili (perdite) portati a nuovo</v>
      </c>
      <c r="AV63" t="str">
        <f>IFERROR(INDEX($AZ$2:$AZ$47,MATCH(13,$BA$2:$BA$47,0)),"")</f>
        <v/>
      </c>
      <c r="AW63" t="str">
        <f>IFERROR(INDEX($BB$2:$BB$47,MATCH(13,$BC$2:$BC$47,0)),"")</f>
        <v/>
      </c>
    </row>
    <row r="64" ht="15" customHeight="1">
      <c r="C64" t="str">
        <f>IFERROR(INDEX($F$2:$F$47,MATCH(14,$G$2:$G$47,0)),"")</f>
        <v/>
      </c>
      <c r="D64" t="str">
        <f>IFERROR(INDEX($H$2:$H$47,MATCH(14,$I$2:$I$47,0)),"")</f>
        <v/>
      </c>
      <c r="E64" t="str">
        <f>IFERROR(INDEX($J$2:$J$47,MATCH(14,$K$2:$K$47,0)),"")</f>
        <v/>
      </c>
      <c r="N64" t="str">
        <f>IFERROR(INDEX($Q$2:$Q$47,MATCH(14,$R$2:$R$47,0)),"")</f>
        <v xml:space="preserve">2) Per imposte, anche differite</v>
      </c>
      <c r="O64" t="str">
        <f>IFERROR(INDEX($S$2:$S$47,MATCH(14,$T$2:$T$47,0)),"")</f>
        <v/>
      </c>
      <c r="P64" t="str">
        <f>IFERROR(INDEX($U$2:$U$47,MATCH(14,$V$2:$V$47,0)),"")</f>
        <v/>
      </c>
      <c r="Y64" t="str">
        <f>IFERROR(INDEX($AB$2:$AB$47,MATCH(14,$AC$2:$AC$47,0)),"")</f>
        <v xml:space="preserve">2) Per imposte, anche differite</v>
      </c>
      <c r="Z64" t="str">
        <f>IFERROR(INDEX($AD$2:$AD$47,MATCH(14,$AE$2:$AE$47,0)),"")</f>
        <v/>
      </c>
      <c r="AA64" t="str">
        <f>IFERROR(INDEX($AF$2:$AF$47,MATCH(14,$AG$2:$AG$47,0)),"")</f>
        <v/>
      </c>
      <c r="AJ64" t="str">
        <f>IFERROR(INDEX($AM$2:$AM$47,MATCH(14,$AN$2:$AN$47,0)),"")</f>
        <v/>
      </c>
      <c r="AK64" t="str">
        <f>IFERROR(INDEX($AO$2:$AO$47,MATCH(14,$AP$2:$AP$47,0)),"")</f>
        <v/>
      </c>
      <c r="AL64" t="str">
        <f>IFERROR(INDEX($AQ$2:$AQ$47,MATCH(14,$AR$2:$AR$47,0)),"")</f>
        <v/>
      </c>
      <c r="AU64" t="str">
        <f>IFERROR(INDEX($AX$2:$AX$47,MATCH(14,$AY$2:$AY$47,0)),"")</f>
        <v xml:space="preserve">2) Per imposte, anche differite</v>
      </c>
      <c r="AV64" t="str">
        <f>IFERROR(INDEX($AZ$2:$AZ$47,MATCH(14,$BA$2:$BA$47,0)),"")</f>
        <v/>
      </c>
      <c r="AW64" t="str">
        <f>IFERROR(INDEX($BB$2:$BB$47,MATCH(14,$BC$2:$BC$47,0)),"")</f>
        <v/>
      </c>
    </row>
    <row r="65" ht="15" customHeight="1">
      <c r="C65" t="str">
        <f>IFERROR(INDEX($F$2:$F$47,MATCH(15,$G$2:$G$47,0)),"")</f>
        <v/>
      </c>
      <c r="D65" t="str">
        <f>IFERROR(INDEX($H$2:$H$47,MATCH(15,$I$2:$I$47,0)),"")</f>
        <v/>
      </c>
      <c r="E65" t="str">
        <f>IFERROR(INDEX($J$2:$J$47,MATCH(15,$K$2:$K$47,0)),"")</f>
        <v/>
      </c>
      <c r="N65" t="str">
        <f>IFERROR(INDEX($Q$2:$Q$47,MATCH(15,$R$2:$R$47,0)),"")</f>
        <v xml:space="preserve">5) Debiti verso altri finanziatori</v>
      </c>
      <c r="O65" t="str">
        <f>IFERROR(INDEX($S$2:$S$47,MATCH(15,$T$2:$T$47,0)),"")</f>
        <v/>
      </c>
      <c r="P65" t="str">
        <f>IFERROR(INDEX($U$2:$U$47,MATCH(15,$V$2:$V$47,0)),"")</f>
        <v/>
      </c>
      <c r="Y65" t="str">
        <f>IFERROR(INDEX($AB$2:$AB$47,MATCH(15,$AC$2:$AC$47,0)),"")</f>
        <v xml:space="preserve">5) Debiti verso altri finanziatori</v>
      </c>
      <c r="Z65" t="str">
        <f>IFERROR(INDEX($AD$2:$AD$47,MATCH(15,$AE$2:$AE$47,0)),"")</f>
        <v/>
      </c>
      <c r="AA65" t="str">
        <f>IFERROR(INDEX($AF$2:$AF$47,MATCH(15,$AG$2:$AG$47,0)),"")</f>
        <v/>
      </c>
      <c r="AJ65" t="str">
        <f>IFERROR(INDEX($AM$2:$AM$47,MATCH(15,$AN$2:$AN$47,0)),"")</f>
        <v/>
      </c>
      <c r="AK65" t="str">
        <f>IFERROR(INDEX($AO$2:$AO$47,MATCH(15,$AP$2:$AP$47,0)),"")</f>
        <v/>
      </c>
      <c r="AL65" t="str">
        <f>IFERROR(INDEX($AQ$2:$AQ$47,MATCH(15,$AR$2:$AR$47,0)),"")</f>
        <v/>
      </c>
      <c r="AU65" t="str">
        <f>IFERROR(INDEX($AX$2:$AX$47,MATCH(15,$AY$2:$AY$47,0)),"")</f>
        <v xml:space="preserve">5) Debiti verso altri finanziatori</v>
      </c>
      <c r="AV65" t="str">
        <f>IFERROR(INDEX($AZ$2:$AZ$47,MATCH(15,$BA$2:$BA$47,0)),"")</f>
        <v/>
      </c>
      <c r="AW65" t="str">
        <f>IFERROR(INDEX($BB$2:$BB$47,MATCH(15,$BC$2:$BC$47,0)),"")</f>
        <v/>
      </c>
    </row>
    <row r="66" ht="15" customHeight="1">
      <c r="C66" t="str">
        <f>IFERROR(INDEX($F$2:$F$47,MATCH(16,$G$2:$G$47,0)),"")</f>
        <v/>
      </c>
      <c r="D66" t="str">
        <f>IFERROR(INDEX($H$2:$H$47,MATCH(16,$I$2:$I$47,0)),"")</f>
        <v/>
      </c>
      <c r="E66" t="str">
        <f>IFERROR(INDEX($J$2:$J$47,MATCH(16,$K$2:$K$47,0)),"")</f>
        <v/>
      </c>
      <c r="N66" t="str">
        <f>IFERROR(INDEX($Q$2:$Q$47,MATCH(16,$R$2:$R$47,0)),"")</f>
        <v xml:space="preserve">7) Debiti verso fornitori</v>
      </c>
      <c r="O66" t="str">
        <f>IFERROR(INDEX($S$2:$S$47,MATCH(16,$T$2:$T$47,0)),"")</f>
        <v/>
      </c>
      <c r="P66" t="str">
        <f>IFERROR(INDEX($U$2:$U$47,MATCH(16,$V$2:$V$47,0)),"")</f>
        <v/>
      </c>
      <c r="Y66" t="str">
        <f>IFERROR(INDEX($AB$2:$AB$47,MATCH(16,$AC$2:$AC$47,0)),"")</f>
        <v xml:space="preserve">7) Debiti verso fornitori</v>
      </c>
      <c r="Z66" t="str">
        <f>IFERROR(INDEX($AD$2:$AD$47,MATCH(16,$AE$2:$AE$47,0)),"")</f>
        <v/>
      </c>
      <c r="AA66" t="str">
        <f>IFERROR(INDEX($AF$2:$AF$47,MATCH(16,$AG$2:$AG$47,0)),"")</f>
        <v/>
      </c>
      <c r="AJ66" t="str">
        <f>IFERROR(INDEX($AM$2:$AM$47,MATCH(16,$AN$2:$AN$47,0)),"")</f>
        <v/>
      </c>
      <c r="AK66" t="str">
        <f>IFERROR(INDEX($AO$2:$AO$47,MATCH(16,$AP$2:$AP$47,0)),"")</f>
        <v/>
      </c>
      <c r="AL66" t="str">
        <f>IFERROR(INDEX($AQ$2:$AQ$47,MATCH(16,$AR$2:$AR$47,0)),"")</f>
        <v/>
      </c>
      <c r="AU66" t="str">
        <f>IFERROR(INDEX($AX$2:$AX$47,MATCH(16,$AY$2:$AY$47,0)),"")</f>
        <v xml:space="preserve">7) Debiti verso fornitori</v>
      </c>
      <c r="AV66" t="str">
        <f>IFERROR(INDEX($AZ$2:$AZ$47,MATCH(16,$BA$2:$BA$47,0)),"")</f>
        <v/>
      </c>
      <c r="AW66" t="str">
        <f>IFERROR(INDEX($BB$2:$BB$47,MATCH(16,$BC$2:$BC$47,0)),"")</f>
        <v/>
      </c>
    </row>
    <row r="67" ht="15" customHeight="1">
      <c r="C67" t="str">
        <f>IFERROR(INDEX($F$2:$F$47,MATCH(17,$G$2:$G$47,0)),"")</f>
        <v/>
      </c>
      <c r="D67" t="str">
        <f>IFERROR(INDEX($H$2:$H$47,MATCH(17,$I$2:$I$47,0)),"")</f>
        <v/>
      </c>
      <c r="E67" t="str">
        <f>IFERROR(INDEX($J$2:$J$47,MATCH(17,$K$2:$K$47,0)),"")</f>
        <v/>
      </c>
      <c r="N67" t="str">
        <f>IFERROR(INDEX($Q$2:$Q$47,MATCH(17,$R$2:$R$47,0)),"")</f>
        <v xml:space="preserve">14) Altri debiti</v>
      </c>
      <c r="O67" t="str">
        <f>IFERROR(INDEX($S$2:$S$47,MATCH(17,$T$2:$T$47,0)),"")</f>
        <v/>
      </c>
      <c r="P67" t="str">
        <f>IFERROR(INDEX($U$2:$U$47,MATCH(17,$V$2:$V$47,0)),"")</f>
        <v/>
      </c>
      <c r="Y67" t="str">
        <f>IFERROR(INDEX($AB$2:$AB$47,MATCH(17,$AC$2:$AC$47,0)),"")</f>
        <v xml:space="preserve">14) Altri debiti</v>
      </c>
      <c r="Z67" t="str">
        <f>IFERROR(INDEX($AD$2:$AD$47,MATCH(17,$AE$2:$AE$47,0)),"")</f>
        <v/>
      </c>
      <c r="AA67" t="str">
        <f>IFERROR(INDEX($AF$2:$AF$47,MATCH(17,$AG$2:$AG$47,0)),"")</f>
        <v/>
      </c>
      <c r="AJ67" t="str">
        <f>IFERROR(INDEX($AM$2:$AM$47,MATCH(17,$AN$2:$AN$47,0)),"")</f>
        <v/>
      </c>
      <c r="AK67" t="str">
        <f>IFERROR(INDEX($AO$2:$AO$47,MATCH(17,$AP$2:$AP$47,0)),"")</f>
        <v/>
      </c>
      <c r="AL67" t="str">
        <f>IFERROR(INDEX($AQ$2:$AQ$47,MATCH(17,$AR$2:$AR$47,0)),"")</f>
        <v/>
      </c>
      <c r="AU67" t="str">
        <f>IFERROR(INDEX($AX$2:$AX$47,MATCH(17,$AY$2:$AY$47,0)),"")</f>
        <v xml:space="preserve">14) Altri debiti</v>
      </c>
      <c r="AV67" t="str">
        <f>IFERROR(INDEX($AZ$2:$AZ$47,MATCH(17,$BA$2:$BA$47,0)),"")</f>
        <v/>
      </c>
      <c r="AW67" t="str">
        <f>IFERROR(INDEX($BB$2:$BB$47,MATCH(17,$BC$2:$BC$47,0)),"")</f>
        <v/>
      </c>
    </row>
    <row r="68" ht="15" customHeight="1">
      <c r="C68" t="str">
        <f>IFERROR(INDEX($F$2:$F$47,MATCH(18,$G$2:$G$47,0)),"")</f>
        <v/>
      </c>
      <c r="D68" t="str">
        <f>IFERROR(INDEX($H$2:$H$47,MATCH(18,$I$2:$I$47,0)),"")</f>
        <v/>
      </c>
      <c r="E68" t="str">
        <f>IFERROR(INDEX($J$2:$J$47,MATCH(18,$K$2:$K$47,0)),"")</f>
        <v/>
      </c>
      <c r="N68" t="str">
        <f>IFERROR(INDEX($Q$2:$Q$47,MATCH(18,$R$2:$R$47,0)),"")</f>
        <v/>
      </c>
      <c r="O68" t="str">
        <f>IFERROR(INDEX($S$2:$S$47,MATCH(18,$T$2:$T$47,0)),"")</f>
        <v/>
      </c>
      <c r="P68" t="str">
        <f>IFERROR(INDEX($U$2:$U$47,MATCH(18,$V$2:$V$47,0)),"")</f>
        <v/>
      </c>
      <c r="Y68" t="str">
        <f>IFERROR(INDEX($AB$2:$AB$47,MATCH(18,$AC$2:$AC$47,0)),"")</f>
        <v/>
      </c>
      <c r="Z68" t="str">
        <f>IFERROR(INDEX($AD$2:$AD$47,MATCH(18,$AE$2:$AE$47,0)),"")</f>
        <v/>
      </c>
      <c r="AA68" t="str">
        <f>IFERROR(INDEX($AF$2:$AF$47,MATCH(18,$AG$2:$AG$47,0)),"")</f>
        <v/>
      </c>
      <c r="AJ68" t="str">
        <f>IFERROR(INDEX($AM$2:$AM$47,MATCH(18,$AN$2:$AN$47,0)),"")</f>
        <v/>
      </c>
      <c r="AK68" t="str">
        <f>IFERROR(INDEX($AO$2:$AO$47,MATCH(18,$AP$2:$AP$47,0)),"")</f>
        <v/>
      </c>
      <c r="AL68" t="str">
        <f>IFERROR(INDEX($AQ$2:$AQ$47,MATCH(18,$AR$2:$AR$47,0)),"")</f>
        <v/>
      </c>
      <c r="AU68" t="str">
        <f>IFERROR(INDEX($AX$2:$AX$47,MATCH(18,$AY$2:$AY$47,0)),"")</f>
        <v/>
      </c>
      <c r="AV68" t="str">
        <f>IFERROR(INDEX($AZ$2:$AZ$47,MATCH(18,$BA$2:$BA$47,0)),"")</f>
        <v/>
      </c>
      <c r="AW68" t="str">
        <f>IFERROR(INDEX($BB$2:$BB$47,MATCH(18,$BC$2:$BC$47,0)),"")</f>
        <v/>
      </c>
    </row>
    <row r="69" ht="15" customHeight="1">
      <c r="C69" t="str">
        <f>IFERROR(INDEX($F$2:$F$47,MATCH(19,$G$2:$G$47,0)),"")</f>
        <v/>
      </c>
      <c r="D69" t="str">
        <f>IFERROR(INDEX($H$2:$H$47,MATCH(19,$I$2:$I$47,0)),"")</f>
        <v/>
      </c>
      <c r="E69" t="str">
        <f>IFERROR(INDEX($J$2:$J$47,MATCH(19,$K$2:$K$47,0)),"")</f>
        <v/>
      </c>
      <c r="N69" t="str">
        <f>IFERROR(INDEX($Q$2:$Q$47,MATCH(19,$R$2:$R$47,0)),"")</f>
        <v/>
      </c>
      <c r="O69" t="str">
        <f>IFERROR(INDEX($S$2:$S$47,MATCH(19,$T$2:$T$47,0)),"")</f>
        <v/>
      </c>
      <c r="P69" t="str">
        <f>IFERROR(INDEX($U$2:$U$47,MATCH(19,$V$2:$V$47,0)),"")</f>
        <v/>
      </c>
      <c r="Y69" t="str">
        <f>IFERROR(INDEX($AB$2:$AB$47,MATCH(19,$AC$2:$AC$47,0)),"")</f>
        <v/>
      </c>
      <c r="Z69" t="str">
        <f>IFERROR(INDEX($AD$2:$AD$47,MATCH(19,$AE$2:$AE$47,0)),"")</f>
        <v/>
      </c>
      <c r="AA69" t="str">
        <f>IFERROR(INDEX($AF$2:$AF$47,MATCH(19,$AG$2:$AG$47,0)),"")</f>
        <v/>
      </c>
      <c r="AJ69" t="str">
        <f>IFERROR(INDEX($AM$2:$AM$47,MATCH(19,$AN$2:$AN$47,0)),"")</f>
        <v/>
      </c>
      <c r="AK69" t="str">
        <f>IFERROR(INDEX($AO$2:$AO$47,MATCH(19,$AP$2:$AP$47,0)),"")</f>
        <v/>
      </c>
      <c r="AL69" t="str">
        <f>IFERROR(INDEX($AQ$2:$AQ$47,MATCH(19,$AR$2:$AR$47,0)),"")</f>
        <v/>
      </c>
      <c r="AU69" t="str">
        <f>IFERROR(INDEX($AX$2:$AX$47,MATCH(19,$AY$2:$AY$47,0)),"")</f>
        <v/>
      </c>
      <c r="AV69" t="str">
        <f>IFERROR(INDEX($AZ$2:$AZ$47,MATCH(19,$BA$2:$BA$47,0)),"")</f>
        <v/>
      </c>
      <c r="AW69" t="str">
        <f>IFERROR(INDEX($BB$2:$BB$47,MATCH(19,$BC$2:$BC$47,0)),"")</f>
        <v/>
      </c>
    </row>
    <row r="70" ht="15" customHeight="1">
      <c r="C70" t="str">
        <f>IFERROR(INDEX($F$2:$F$47,MATCH(20,$G$2:$G$47,0)),"")</f>
        <v/>
      </c>
      <c r="D70" t="str">
        <f>IFERROR(INDEX($H$2:$H$47,MATCH(20,$I$2:$I$47,0)),"")</f>
        <v/>
      </c>
      <c r="E70" t="str">
        <f>IFERROR(INDEX($J$2:$J$47,MATCH(20,$K$2:$K$47,0)),"")</f>
        <v/>
      </c>
      <c r="N70" t="str">
        <f>IFERROR(INDEX($Q$2:$Q$47,MATCH(20,$R$2:$R$47,0)),"")</f>
        <v/>
      </c>
      <c r="O70" t="str">
        <f>IFERROR(INDEX($S$2:$S$47,MATCH(20,$T$2:$T$47,0)),"")</f>
        <v/>
      </c>
      <c r="P70" t="str">
        <f>IFERROR(INDEX($U$2:$U$47,MATCH(20,$V$2:$V$47,0)),"")</f>
        <v/>
      </c>
      <c r="Y70" t="str">
        <f>IFERROR(INDEX($AB$2:$AB$47,MATCH(20,$AC$2:$AC$47,0)),"")</f>
        <v/>
      </c>
      <c r="Z70" t="str">
        <f>IFERROR(INDEX($AD$2:$AD$47,MATCH(20,$AE$2:$AE$47,0)),"")</f>
        <v/>
      </c>
      <c r="AA70" t="str">
        <f>IFERROR(INDEX($AF$2:$AF$47,MATCH(20,$AG$2:$AG$47,0)),"")</f>
        <v/>
      </c>
      <c r="AJ70" t="str">
        <f>IFERROR(INDEX($AM$2:$AM$47,MATCH(20,$AN$2:$AN$47,0)),"")</f>
        <v/>
      </c>
      <c r="AK70" t="str">
        <f>IFERROR(INDEX($AO$2:$AO$47,MATCH(20,$AP$2:$AP$47,0)),"")</f>
        <v/>
      </c>
      <c r="AL70" t="str">
        <f>IFERROR(INDEX($AQ$2:$AQ$47,MATCH(20,$AR$2:$AR$47,0)),"")</f>
        <v/>
      </c>
      <c r="AU70" t="str">
        <f>IFERROR(INDEX($AX$2:$AX$47,MATCH(20,$AY$2:$AY$47,0)),"")</f>
        <v/>
      </c>
      <c r="AV70" t="str">
        <f>IFERROR(INDEX($AZ$2:$AZ$47,MATCH(20,$BA$2:$BA$47,0)),"")</f>
        <v/>
      </c>
      <c r="AW70" t="str">
        <f>IFERROR(INDEX($BB$2:$BB$47,MATCH(20,$BC$2:$BC$47,0)),"")</f>
        <v/>
      </c>
    </row>
    <row r="71" ht="15" customHeight="1">
      <c r="C71" t="str">
        <f>IFERROR(INDEX($F$2:$F$47,MATCH(21,$G$2:$G$47,0)),"")</f>
        <v/>
      </c>
      <c r="D71" t="str">
        <f>IFERROR(INDEX($H$2:$H$47,MATCH(21,$I$2:$I$47,0)),"")</f>
        <v/>
      </c>
      <c r="E71" t="str">
        <f>IFERROR(INDEX($J$2:$J$47,MATCH(21,$K$2:$K$47,0)),"")</f>
        <v/>
      </c>
      <c r="N71" t="str">
        <f>IFERROR(INDEX($Q$2:$Q$47,MATCH(21,$R$2:$R$47,0)),"")</f>
        <v/>
      </c>
      <c r="O71" t="str">
        <f>IFERROR(INDEX($S$2:$S$47,MATCH(21,$T$2:$T$47,0)),"")</f>
        <v/>
      </c>
      <c r="P71" t="str">
        <f>IFERROR(INDEX($U$2:$U$47,MATCH(21,$V$2:$V$47,0)),"")</f>
        <v/>
      </c>
      <c r="Y71" t="str">
        <f>IFERROR(INDEX($AB$2:$AB$47,MATCH(21,$AC$2:$AC$47,0)),"")</f>
        <v/>
      </c>
      <c r="Z71" t="str">
        <f>IFERROR(INDEX($AD$2:$AD$47,MATCH(21,$AE$2:$AE$47,0)),"")</f>
        <v/>
      </c>
      <c r="AA71" t="str">
        <f>IFERROR(INDEX($AF$2:$AF$47,MATCH(21,$AG$2:$AG$47,0)),"")</f>
        <v/>
      </c>
      <c r="AJ71" t="str">
        <f>IFERROR(INDEX($AM$2:$AM$47,MATCH(21,$AN$2:$AN$47,0)),"")</f>
        <v/>
      </c>
      <c r="AK71" t="str">
        <f>IFERROR(INDEX($AO$2:$AO$47,MATCH(21,$AP$2:$AP$47,0)),"")</f>
        <v/>
      </c>
      <c r="AL71" t="str">
        <f>IFERROR(INDEX($AQ$2:$AQ$47,MATCH(21,$AR$2:$AR$47,0)),"")</f>
        <v/>
      </c>
      <c r="AU71" t="str">
        <f>IFERROR(INDEX($AX$2:$AX$47,MATCH(21,$AY$2:$AY$47,0)),"")</f>
        <v/>
      </c>
      <c r="AV71" t="str">
        <f>IFERROR(INDEX($AZ$2:$AZ$47,MATCH(21,$BA$2:$BA$47,0)),"")</f>
        <v/>
      </c>
      <c r="AW71" t="str">
        <f>IFERROR(INDEX($BB$2:$BB$47,MATCH(21,$BC$2:$BC$47,0)),"")</f>
        <v/>
      </c>
    </row>
    <row r="72" ht="15" customHeight="1">
      <c r="C72" t="str">
        <f>IFERROR(INDEX($F$2:$F$47,MATCH(22,$G$2:$G$47,0)),"")</f>
        <v/>
      </c>
      <c r="D72" t="str">
        <f>IFERROR(INDEX($H$2:$H$47,MATCH(22,$I$2:$I$47,0)),"")</f>
        <v/>
      </c>
      <c r="E72" t="str">
        <f>IFERROR(INDEX($J$2:$J$47,MATCH(22,$K$2:$K$47,0)),"")</f>
        <v/>
      </c>
      <c r="N72" t="str">
        <f>IFERROR(INDEX($Q$2:$Q$47,MATCH(22,$R$2:$R$47,0)),"")</f>
        <v/>
      </c>
      <c r="O72" t="str">
        <f>IFERROR(INDEX($S$2:$S$47,MATCH(22,$T$2:$T$47,0)),"")</f>
        <v/>
      </c>
      <c r="P72" t="str">
        <f>IFERROR(INDEX($U$2:$U$47,MATCH(22,$V$2:$V$47,0)),"")</f>
        <v/>
      </c>
      <c r="Y72" t="str">
        <f>IFERROR(INDEX($AB$2:$AB$47,MATCH(22,$AC$2:$AC$47,0)),"")</f>
        <v/>
      </c>
      <c r="Z72" t="str">
        <f>IFERROR(INDEX($AD$2:$AD$47,MATCH(22,$AE$2:$AE$47,0)),"")</f>
        <v/>
      </c>
      <c r="AA72" t="str">
        <f>IFERROR(INDEX($AF$2:$AF$47,MATCH(22,$AG$2:$AG$47,0)),"")</f>
        <v/>
      </c>
      <c r="AJ72" t="str">
        <f>IFERROR(INDEX($AM$2:$AM$47,MATCH(22,$AN$2:$AN$47,0)),"")</f>
        <v/>
      </c>
      <c r="AK72" t="str">
        <f>IFERROR(INDEX($AO$2:$AO$47,MATCH(22,$AP$2:$AP$47,0)),"")</f>
        <v/>
      </c>
      <c r="AL72" t="str">
        <f>IFERROR(INDEX($AQ$2:$AQ$47,MATCH(22,$AR$2:$AR$47,0)),"")</f>
        <v/>
      </c>
      <c r="AU72" t="str">
        <f>IFERROR(INDEX($AX$2:$AX$47,MATCH(22,$AY$2:$AY$47,0)),"")</f>
        <v/>
      </c>
      <c r="AV72" t="str">
        <f>IFERROR(INDEX($AZ$2:$AZ$47,MATCH(22,$BA$2:$BA$47,0)),"")</f>
        <v/>
      </c>
      <c r="AW72" t="str">
        <f>IFERROR(INDEX($BB$2:$BB$47,MATCH(22,$BC$2:$BC$47,0)),"")</f>
        <v/>
      </c>
    </row>
    <row r="73" ht="15" customHeight="1">
      <c r="C73" t="str">
        <f>IFERROR(INDEX($F$2:$F$47,MATCH(23,$G$2:$G$47,0)),"")</f>
        <v/>
      </c>
      <c r="D73" t="str">
        <f>IFERROR(INDEX($H$2:$H$47,MATCH(23,$I$2:$I$47,0)),"")</f>
        <v/>
      </c>
      <c r="E73" t="str">
        <f>IFERROR(INDEX($J$2:$J$47,MATCH(23,$K$2:$K$47,0)),"")</f>
        <v/>
      </c>
      <c r="N73" t="str">
        <f>IFERROR(INDEX($Q$2:$Q$47,MATCH(23,$R$2:$R$47,0)),"")</f>
        <v/>
      </c>
      <c r="O73" t="str">
        <f>IFERROR(INDEX($S$2:$S$47,MATCH(23,$T$2:$T$47,0)),"")</f>
        <v/>
      </c>
      <c r="P73" t="str">
        <f>IFERROR(INDEX($U$2:$U$47,MATCH(23,$V$2:$V$47,0)),"")</f>
        <v/>
      </c>
      <c r="Y73" t="str">
        <f>IFERROR(INDEX($AB$2:$AB$47,MATCH(23,$AC$2:$AC$47,0)),"")</f>
        <v/>
      </c>
      <c r="Z73" t="str">
        <f>IFERROR(INDEX($AD$2:$AD$47,MATCH(23,$AE$2:$AE$47,0)),"")</f>
        <v/>
      </c>
      <c r="AA73" t="str">
        <f>IFERROR(INDEX($AF$2:$AF$47,MATCH(23,$AG$2:$AG$47,0)),"")</f>
        <v/>
      </c>
      <c r="AJ73" t="str">
        <f>IFERROR(INDEX($AM$2:$AM$47,MATCH(23,$AN$2:$AN$47,0)),"")</f>
        <v/>
      </c>
      <c r="AK73" t="str">
        <f>IFERROR(INDEX($AO$2:$AO$47,MATCH(23,$AP$2:$AP$47,0)),"")</f>
        <v/>
      </c>
      <c r="AL73" t="str">
        <f>IFERROR(INDEX($AQ$2:$AQ$47,MATCH(23,$AR$2:$AR$47,0)),"")</f>
        <v/>
      </c>
      <c r="AU73" t="str">
        <f>IFERROR(INDEX($AX$2:$AX$47,MATCH(23,$AY$2:$AY$47,0)),"")</f>
        <v/>
      </c>
      <c r="AV73" t="str">
        <f>IFERROR(INDEX($AZ$2:$AZ$47,MATCH(23,$BA$2:$BA$47,0)),"")</f>
        <v/>
      </c>
      <c r="AW73" t="str">
        <f>IFERROR(INDEX($BB$2:$BB$47,MATCH(23,$BC$2:$BC$47,0)),"")</f>
        <v/>
      </c>
    </row>
    <row r="74" ht="15" customHeight="1">
      <c r="C74" t="str">
        <f>IFERROR(INDEX($F$2:$F$47,MATCH(24,$G$2:$G$47,0)),"")</f>
        <v/>
      </c>
      <c r="D74" t="str">
        <f>IFERROR(INDEX($H$2:$H$47,MATCH(24,$I$2:$I$47,0)),"")</f>
        <v/>
      </c>
      <c r="E74" t="str">
        <f>IFERROR(INDEX($J$2:$J$47,MATCH(24,$K$2:$K$47,0)),"")</f>
        <v/>
      </c>
      <c r="N74" t="str">
        <f>IFERROR(INDEX($Q$2:$Q$47,MATCH(24,$R$2:$R$47,0)),"")</f>
        <v/>
      </c>
      <c r="O74" t="str">
        <f>IFERROR(INDEX($S$2:$S$47,MATCH(24,$T$2:$T$47,0)),"")</f>
        <v/>
      </c>
      <c r="P74" t="str">
        <f>IFERROR(INDEX($U$2:$U$47,MATCH(24,$V$2:$V$47,0)),"")</f>
        <v/>
      </c>
      <c r="Y74" t="str">
        <f>IFERROR(INDEX($AB$2:$AB$47,MATCH(24,$AC$2:$AC$47,0)),"")</f>
        <v/>
      </c>
      <c r="Z74" t="str">
        <f>IFERROR(INDEX($AD$2:$AD$47,MATCH(24,$AE$2:$AE$47,0)),"")</f>
        <v/>
      </c>
      <c r="AA74" t="str">
        <f>IFERROR(INDEX($AF$2:$AF$47,MATCH(24,$AG$2:$AG$47,0)),"")</f>
        <v/>
      </c>
      <c r="AJ74" t="str">
        <f>IFERROR(INDEX($AM$2:$AM$47,MATCH(24,$AN$2:$AN$47,0)),"")</f>
        <v/>
      </c>
      <c r="AK74" t="str">
        <f>IFERROR(INDEX($AO$2:$AO$47,MATCH(24,$AP$2:$AP$47,0)),"")</f>
        <v/>
      </c>
      <c r="AL74" t="str">
        <f>IFERROR(INDEX($AQ$2:$AQ$47,MATCH(24,$AR$2:$AR$47,0)),"")</f>
        <v/>
      </c>
      <c r="AU74" t="str">
        <f>IFERROR(INDEX($AX$2:$AX$47,MATCH(24,$AY$2:$AY$47,0)),"")</f>
        <v/>
      </c>
      <c r="AV74" t="str">
        <f>IFERROR(INDEX($AZ$2:$AZ$47,MATCH(24,$BA$2:$BA$47,0)),"")</f>
        <v/>
      </c>
      <c r="AW74" t="str">
        <f>IFERROR(INDEX($BB$2:$BB$47,MATCH(24,$BC$2:$BC$47,0)),"")</f>
        <v/>
      </c>
    </row>
    <row r="75" ht="15" customHeight="1">
      <c r="C75" t="str">
        <f>IFERROR(INDEX($F$2:$F$47,MATCH(25,$G$2:$G$47,0)),"")</f>
        <v/>
      </c>
      <c r="D75" t="str">
        <f>IFERROR(INDEX($H$2:$H$47,MATCH(25,$I$2:$I$47,0)),"")</f>
        <v/>
      </c>
      <c r="E75" t="str">
        <f>IFERROR(INDEX($J$2:$J$47,MATCH(25,$K$2:$K$47,0)),"")</f>
        <v/>
      </c>
      <c r="N75" t="str">
        <f>IFERROR(INDEX($Q$2:$Q$47,MATCH(25,$R$2:$R$47,0)),"")</f>
        <v/>
      </c>
      <c r="O75" t="str">
        <f>IFERROR(INDEX($S$2:$S$47,MATCH(25,$T$2:$T$47,0)),"")</f>
        <v/>
      </c>
      <c r="P75" t="str">
        <f>IFERROR(INDEX($U$2:$U$47,MATCH(25,$V$2:$V$47,0)),"")</f>
        <v/>
      </c>
      <c r="Y75" t="str">
        <f>IFERROR(INDEX($AB$2:$AB$47,MATCH(25,$AC$2:$AC$47,0)),"")</f>
        <v/>
      </c>
      <c r="Z75" t="str">
        <f>IFERROR(INDEX($AD$2:$AD$47,MATCH(25,$AE$2:$AE$47,0)),"")</f>
        <v/>
      </c>
      <c r="AA75" t="str">
        <f>IFERROR(INDEX($AF$2:$AF$47,MATCH(25,$AG$2:$AG$47,0)),"")</f>
        <v/>
      </c>
      <c r="AJ75" t="str">
        <f>IFERROR(INDEX($AM$2:$AM$47,MATCH(25,$AN$2:$AN$47,0)),"")</f>
        <v/>
      </c>
      <c r="AK75" t="str">
        <f>IFERROR(INDEX($AO$2:$AO$47,MATCH(25,$AP$2:$AP$47,0)),"")</f>
        <v/>
      </c>
      <c r="AL75" t="str">
        <f>IFERROR(INDEX($AQ$2:$AQ$47,MATCH(25,$AR$2:$AR$47,0)),"")</f>
        <v/>
      </c>
      <c r="AU75" t="str">
        <f>IFERROR(INDEX($AX$2:$AX$47,MATCH(25,$AY$2:$AY$47,0)),"")</f>
        <v/>
      </c>
      <c r="AV75" t="str">
        <f>IFERROR(INDEX($AZ$2:$AZ$47,MATCH(25,$BA$2:$BA$47,0)),"")</f>
        <v/>
      </c>
      <c r="AW75" t="str">
        <f>IFERROR(INDEX($BB$2:$BB$47,MATCH(25,$BC$2:$BC$47,0)),"")</f>
        <v/>
      </c>
    </row>
  </sheetData>
  <printOptions headings="0" gridLines="0"/>
  <pageMargins left="0.75" right="0.75" top="1" bottom="1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ONLYOFFICE/9.4.0.129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dc:language>en-US</dc:language>
  <cp:revision>1</cp:revision>
  <dcterms:created xsi:type="dcterms:W3CDTF">2026-06-24T05:39:06Z</dcterms:created>
  <dcterms:modified xsi:type="dcterms:W3CDTF">2026-07-10T07:35:19Z</dcterms:modified>
</cp:coreProperties>
</file>